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7635" windowHeight="5190"/>
  </bookViews>
  <sheets>
    <sheet name="Plan1" sheetId="1" r:id="rId1"/>
    <sheet name="Plan2" sheetId="2" r:id="rId2"/>
    <sheet name="Plan3" sheetId="3" r:id="rId3"/>
  </sheets>
  <calcPr calcId="144525"/>
</workbook>
</file>

<file path=xl/calcChain.xml><?xml version="1.0" encoding="utf-8"?>
<calcChain xmlns="http://schemas.openxmlformats.org/spreadsheetml/2006/main">
  <c r="J237" i="1" l="1"/>
  <c r="J233" i="1"/>
  <c r="I233" i="1"/>
  <c r="J232" i="1"/>
  <c r="I232" i="1"/>
  <c r="J218" i="1"/>
  <c r="I218" i="1"/>
  <c r="J216" i="1"/>
  <c r="I216" i="1"/>
  <c r="J212" i="1"/>
  <c r="I212" i="1"/>
  <c r="J208" i="1"/>
  <c r="I208" i="1"/>
  <c r="J205" i="1"/>
  <c r="I205" i="1"/>
  <c r="J204" i="1"/>
  <c r="I204" i="1"/>
  <c r="J164" i="1"/>
  <c r="I164" i="1"/>
  <c r="J154" i="1"/>
  <c r="I154" i="1"/>
  <c r="J153" i="1"/>
  <c r="I153" i="1"/>
  <c r="J151" i="1"/>
  <c r="I151" i="1"/>
  <c r="J150" i="1"/>
  <c r="I150" i="1"/>
  <c r="J147" i="1"/>
  <c r="I147" i="1"/>
  <c r="J124" i="1"/>
  <c r="I124" i="1"/>
  <c r="J116" i="1"/>
  <c r="I116" i="1"/>
  <c r="J113" i="1"/>
  <c r="J112" i="1"/>
  <c r="I113" i="1"/>
  <c r="I112" i="1"/>
  <c r="J111" i="1"/>
  <c r="J110" i="1"/>
  <c r="I111" i="1"/>
  <c r="I110" i="1"/>
  <c r="J109" i="1"/>
  <c r="I109" i="1"/>
  <c r="J96" i="1"/>
  <c r="I96" i="1"/>
  <c r="J89" i="1"/>
  <c r="I89" i="1"/>
  <c r="J88" i="1"/>
  <c r="I88" i="1"/>
  <c r="J87" i="1"/>
  <c r="I87" i="1"/>
  <c r="J71" i="1"/>
  <c r="I71" i="1"/>
  <c r="J70" i="1"/>
  <c r="I70" i="1"/>
  <c r="J68" i="1"/>
  <c r="I68" i="1"/>
  <c r="J67" i="1"/>
  <c r="I67" i="1"/>
  <c r="J66" i="1"/>
  <c r="I66" i="1"/>
  <c r="J63" i="1"/>
  <c r="I63" i="1"/>
  <c r="J62" i="1"/>
  <c r="J61" i="1"/>
  <c r="J60" i="1"/>
  <c r="I62" i="1"/>
  <c r="I61" i="1"/>
  <c r="I60" i="1"/>
  <c r="J57" i="1"/>
  <c r="I57" i="1"/>
  <c r="J56" i="1"/>
  <c r="J55" i="1"/>
  <c r="I56" i="1"/>
  <c r="I55" i="1"/>
  <c r="J46" i="1"/>
  <c r="J45" i="1"/>
  <c r="J44" i="1"/>
  <c r="J43" i="1"/>
  <c r="I43" i="1"/>
  <c r="I46" i="1"/>
  <c r="I45" i="1"/>
  <c r="I44" i="1"/>
  <c r="J42" i="1"/>
  <c r="I42" i="1"/>
  <c r="J41" i="1"/>
  <c r="I41" i="1"/>
  <c r="J40" i="1"/>
  <c r="I40" i="1"/>
  <c r="J39" i="1"/>
  <c r="I39" i="1"/>
  <c r="J38" i="1"/>
  <c r="I38" i="1"/>
  <c r="J37" i="1"/>
  <c r="I37" i="1"/>
  <c r="J36" i="1"/>
  <c r="J35" i="1"/>
  <c r="I36" i="1"/>
  <c r="I35" i="1"/>
  <c r="J34" i="1"/>
  <c r="I34" i="1"/>
  <c r="J33" i="1"/>
  <c r="I33" i="1"/>
  <c r="J32" i="1"/>
  <c r="I32" i="1"/>
  <c r="J17" i="1"/>
  <c r="I17" i="1"/>
  <c r="J16" i="1"/>
  <c r="I16" i="1"/>
  <c r="J15" i="1"/>
  <c r="I15" i="1"/>
  <c r="J14" i="1"/>
  <c r="I14" i="1"/>
  <c r="J13" i="1"/>
  <c r="I13" i="1"/>
  <c r="J12" i="1"/>
  <c r="I12" i="1"/>
  <c r="J11" i="1"/>
  <c r="I11" i="1"/>
  <c r="J8" i="1"/>
  <c r="I8" i="1"/>
  <c r="J7" i="1"/>
  <c r="I7" i="1"/>
  <c r="J5" i="1"/>
  <c r="I5" i="1"/>
  <c r="J133" i="1" l="1"/>
  <c r="J115" i="1"/>
  <c r="J114" i="1"/>
  <c r="J98" i="1"/>
  <c r="J6" i="1"/>
  <c r="J3" i="1"/>
  <c r="J4" i="1"/>
  <c r="J9" i="1"/>
  <c r="J10" i="1"/>
  <c r="J18" i="1"/>
  <c r="J19" i="1"/>
  <c r="J20" i="1"/>
  <c r="J21" i="1"/>
  <c r="J22" i="1"/>
  <c r="J23" i="1"/>
  <c r="J24" i="1"/>
  <c r="J25" i="1"/>
  <c r="J26" i="1"/>
  <c r="J27" i="1"/>
  <c r="J28" i="1"/>
  <c r="J29" i="1"/>
  <c r="J30" i="1"/>
  <c r="J31" i="1"/>
  <c r="J47" i="1"/>
  <c r="J48" i="1"/>
  <c r="J49" i="1"/>
  <c r="J50" i="1"/>
  <c r="J51" i="1"/>
  <c r="J52" i="1"/>
  <c r="J53" i="1"/>
  <c r="J54" i="1"/>
  <c r="J58" i="1"/>
  <c r="J59" i="1"/>
  <c r="J64" i="1"/>
  <c r="J65" i="1"/>
  <c r="J72" i="1"/>
  <c r="J73" i="1"/>
  <c r="J74" i="1"/>
  <c r="J75" i="1"/>
  <c r="J76" i="1"/>
  <c r="J77" i="1"/>
  <c r="J78" i="1"/>
  <c r="J79" i="1"/>
  <c r="J80" i="1"/>
  <c r="J81" i="1"/>
  <c r="J82" i="1"/>
  <c r="J83" i="1"/>
  <c r="J84" i="1"/>
  <c r="J85" i="1"/>
  <c r="J86" i="1"/>
  <c r="J90" i="1"/>
  <c r="J91" i="1"/>
  <c r="J92" i="1"/>
  <c r="J93" i="1"/>
  <c r="J94" i="1"/>
  <c r="J95" i="1"/>
  <c r="J97" i="1"/>
  <c r="J99" i="1"/>
  <c r="J100" i="1"/>
  <c r="J101" i="1"/>
  <c r="J102" i="1"/>
  <c r="J103" i="1"/>
  <c r="J104" i="1"/>
  <c r="J105" i="1"/>
  <c r="J106" i="1"/>
  <c r="J107" i="1"/>
  <c r="J108" i="1"/>
  <c r="J117" i="1"/>
  <c r="J118" i="1"/>
  <c r="J119" i="1"/>
  <c r="J120" i="1"/>
  <c r="J121" i="1"/>
  <c r="J122" i="1"/>
  <c r="J123" i="1"/>
  <c r="J125" i="1"/>
  <c r="J126" i="1"/>
  <c r="J127" i="1"/>
  <c r="J128" i="1"/>
  <c r="J129" i="1"/>
  <c r="J130" i="1"/>
  <c r="J131" i="1"/>
  <c r="J132" i="1"/>
  <c r="J134" i="1"/>
  <c r="J135" i="1"/>
  <c r="J136" i="1"/>
  <c r="J137" i="1"/>
  <c r="J139" i="1"/>
  <c r="J140" i="1"/>
  <c r="J141" i="1"/>
  <c r="J142" i="1"/>
  <c r="J143" i="1"/>
  <c r="J144" i="1"/>
  <c r="J145" i="1"/>
  <c r="J146" i="1"/>
  <c r="J148" i="1"/>
  <c r="J149" i="1"/>
  <c r="J152" i="1"/>
  <c r="J155" i="1"/>
  <c r="J156" i="1"/>
  <c r="J157" i="1"/>
  <c r="J158" i="1"/>
  <c r="J159" i="1"/>
  <c r="J160" i="1"/>
  <c r="J161" i="1"/>
  <c r="J162" i="1"/>
  <c r="J163"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6" i="1"/>
  <c r="J207" i="1"/>
  <c r="J209" i="1"/>
  <c r="J210" i="1"/>
  <c r="J211" i="1"/>
  <c r="J213" i="1"/>
  <c r="J214" i="1"/>
  <c r="J215" i="1"/>
  <c r="J217" i="1"/>
  <c r="J219" i="1"/>
  <c r="J220" i="1"/>
  <c r="J221" i="1"/>
  <c r="J222" i="1"/>
  <c r="J223" i="1"/>
  <c r="J224" i="1"/>
  <c r="J225" i="1"/>
  <c r="J226" i="1"/>
  <c r="J227" i="1"/>
  <c r="J228" i="1"/>
  <c r="J229" i="1"/>
  <c r="J230" i="1"/>
  <c r="J231" i="1"/>
  <c r="J234" i="1"/>
  <c r="J235" i="1"/>
  <c r="J236" i="1"/>
  <c r="I235" i="1" l="1"/>
  <c r="I221" i="1"/>
  <c r="I209" i="1"/>
  <c r="I163" i="1"/>
  <c r="I162" i="1"/>
  <c r="I161" i="1"/>
  <c r="I126" i="1"/>
  <c r="I125" i="1"/>
  <c r="I117" i="1"/>
  <c r="I104" i="1"/>
  <c r="I213" i="1" l="1"/>
  <c r="I201" i="1"/>
  <c r="I159" i="1"/>
  <c r="I54" i="1" l="1"/>
  <c r="I58" i="1"/>
  <c r="I59" i="1"/>
  <c r="I64" i="1"/>
  <c r="I65" i="1"/>
  <c r="I69" i="1"/>
  <c r="I72" i="1"/>
  <c r="I73" i="1"/>
  <c r="I74" i="1"/>
  <c r="I75" i="1"/>
  <c r="I76" i="1"/>
  <c r="I77" i="1"/>
  <c r="I78" i="1"/>
  <c r="I79" i="1"/>
  <c r="I80" i="1"/>
  <c r="I81" i="1"/>
  <c r="I82" i="1"/>
  <c r="I83" i="1"/>
  <c r="I84" i="1"/>
  <c r="I85" i="1"/>
  <c r="I86" i="1"/>
  <c r="I90" i="1"/>
  <c r="I91" i="1"/>
  <c r="I92" i="1"/>
  <c r="I93" i="1"/>
  <c r="I94" i="1"/>
  <c r="I95" i="1"/>
  <c r="I97" i="1"/>
  <c r="I98" i="1"/>
  <c r="I99" i="1"/>
  <c r="I100" i="1"/>
  <c r="I101" i="1"/>
  <c r="I102" i="1"/>
  <c r="I103" i="1"/>
  <c r="I105" i="1"/>
  <c r="I106" i="1"/>
  <c r="I107" i="1"/>
  <c r="I108" i="1"/>
  <c r="I114" i="1"/>
  <c r="I115" i="1"/>
  <c r="I118" i="1"/>
  <c r="I119" i="1"/>
  <c r="I120" i="1"/>
  <c r="I121" i="1"/>
  <c r="I122" i="1"/>
  <c r="I123" i="1"/>
  <c r="I127" i="1"/>
  <c r="I128" i="1"/>
  <c r="I129" i="1"/>
  <c r="I130" i="1"/>
  <c r="I131" i="1"/>
  <c r="I132" i="1"/>
  <c r="I133" i="1"/>
  <c r="I134" i="1"/>
  <c r="I135" i="1"/>
  <c r="I136" i="1"/>
  <c r="I137" i="1"/>
  <c r="I138" i="1"/>
  <c r="I139" i="1"/>
  <c r="I140" i="1"/>
  <c r="I141" i="1"/>
  <c r="I142" i="1"/>
  <c r="I143" i="1"/>
  <c r="I144" i="1"/>
  <c r="I145" i="1"/>
  <c r="I146" i="1"/>
  <c r="I148" i="1"/>
  <c r="I149" i="1"/>
  <c r="I152" i="1"/>
  <c r="I155" i="1"/>
  <c r="I156" i="1"/>
  <c r="I157" i="1"/>
  <c r="I158" i="1"/>
  <c r="I160"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2" i="1"/>
  <c r="I203" i="1"/>
  <c r="I206" i="1"/>
  <c r="I207" i="1"/>
  <c r="I210" i="1"/>
  <c r="I211" i="1"/>
  <c r="I214" i="1"/>
  <c r="I215" i="1"/>
  <c r="I217" i="1"/>
  <c r="I219" i="1"/>
  <c r="I220" i="1"/>
  <c r="I222" i="1"/>
  <c r="I223" i="1"/>
  <c r="I224" i="1"/>
  <c r="I225" i="1"/>
  <c r="I226" i="1"/>
  <c r="I227" i="1"/>
  <c r="I228" i="1"/>
  <c r="I229" i="1"/>
  <c r="I230" i="1"/>
  <c r="I231" i="1"/>
  <c r="I234" i="1"/>
  <c r="I236" i="1"/>
  <c r="I6" i="1"/>
  <c r="I9" i="1"/>
  <c r="I10" i="1"/>
  <c r="I18" i="1"/>
  <c r="I19" i="1"/>
  <c r="I20" i="1"/>
  <c r="I21" i="1"/>
  <c r="I22" i="1"/>
  <c r="I23" i="1"/>
  <c r="I24" i="1"/>
  <c r="I25" i="1"/>
  <c r="I26" i="1"/>
  <c r="I27" i="1"/>
  <c r="I28" i="1"/>
  <c r="I29" i="1"/>
  <c r="I30" i="1"/>
  <c r="I31" i="1"/>
  <c r="I47" i="1"/>
  <c r="I48" i="1"/>
  <c r="I49" i="1"/>
  <c r="I50" i="1"/>
  <c r="I51" i="1"/>
  <c r="I52" i="1"/>
  <c r="I53" i="1"/>
  <c r="I4" i="1"/>
  <c r="I3" i="1"/>
  <c r="I237" i="1" l="1"/>
</calcChain>
</file>

<file path=xl/sharedStrings.xml><?xml version="1.0" encoding="utf-8"?>
<sst xmlns="http://schemas.openxmlformats.org/spreadsheetml/2006/main" count="922" uniqueCount="697">
  <si>
    <t>Item</t>
  </si>
  <si>
    <t>Quantidade</t>
  </si>
  <si>
    <t>Descrição Simplificada</t>
  </si>
  <si>
    <t>Especificação/ Descrição</t>
  </si>
  <si>
    <t>Unid</t>
  </si>
  <si>
    <t>M.F ALMEIDA</t>
  </si>
  <si>
    <t>SILMES</t>
  </si>
  <si>
    <t>BANCO DE PREÇOS</t>
  </si>
  <si>
    <t>MÉDIA</t>
  </si>
  <si>
    <t>1.        </t>
  </si>
  <si>
    <t>Abridor de boca Molt adulto</t>
  </si>
  <si>
    <t>Instrumento indicado para manter a boca do paciente aberta, tamanho adulto, confeccionado em aço inoxidável tipo AISI 420, livre de rebarbas e sinais de oxidação, resistente aos métodos normalmente usados para desinfecção e esterilização. Apresentação: embalagem individual trazendo externamente os dados de identificação, procedência, número de lote e registro no Ministério da Saúde.</t>
  </si>
  <si>
    <t>2.        </t>
  </si>
  <si>
    <t>Abridor de boca Molt infantil</t>
  </si>
  <si>
    <t>Instrumento indicado para manter a boca do paciente aberta, tamanho infantil, confeccionado em aço inoxidável tipo AISI 420, livre de rebarbas e sinais de oxidação, resistente aos métodos normalmente usados para desinfecção e esterilização. Apresentação: embalagem individual trazendo externamente os dados de identificação, procedência, número de lote e registro no Ministério da Saúde.</t>
  </si>
  <si>
    <t>3.        </t>
  </si>
  <si>
    <t>Ácido Fosfórico a 37%</t>
  </si>
  <si>
    <t>Solução a base de ácido fosfórico a 37% em forma de gel na cor azul ou verde com cânula metálica curva de tamanho mínimo de 30 mm. Prazo de validade de no mínimo 20 meses a partir da data de entrega. Apresentação: embalagem contendo 3 (três) seringas de ácido fosfórico a 37% com 2,5mL e cânulas para aplicação trazendo externamente os dados de identificação, procedência, número de lote, validade e registro no Ministério da Saúde.</t>
  </si>
  <si>
    <t>4.        </t>
  </si>
  <si>
    <t>Adesivo dentinário</t>
  </si>
  <si>
    <t xml:space="preserve">Agente de união com nanotecnologia Contendo  BisGMA, HEMA, dimetacrilatos, etanol e um copolímero funcional de metacrilato de ácidos poliacrílico e polialcenóico. Deve ser utilizado no método de  condicionamento total, é ativado por luz visível que incorpora partícula de carga de sílica esféricas de 5nm equivalendo a 10% do seu peso, monocomponente para esmalte e dentina, hidrofílico, contém álcool e água como solvente, com rendimento de 280 gotas por frasco com tampa especial que permite manuseio com uma das mãos e menor desperdício.  Apresentação:  frasco com tampa tipo flip &amp; top de 5,6 ml (6gr) trazendo externamente os dados de identificação, procedência, número de lote, validade e registro no Ministério da Saúde. </t>
  </si>
  <si>
    <t>5.        </t>
  </si>
  <si>
    <t>Afastador labial adulto</t>
  </si>
  <si>
    <t>Afastador labial bilateral adulto, para facilitar a visualização e acesso aos dentes, fabricado em material flexível, esterilizável em autoclave. Apresentação: embalagem individual trazendo externamente os dados de identificação, procedência, número de lote e registro no Ministério da Saúde.</t>
  </si>
  <si>
    <t>6.        </t>
  </si>
  <si>
    <t>Afastador labial infantil</t>
  </si>
  <si>
    <t xml:space="preserve">Afastador labial bilateral infantil, para facilitar a visualização e acesso aos dentes, fabricado em material flexível, esterilizável em autoclave. Apresentação: embalagem individual trazendo externamente os dados de identificação, procedência, número de lote e registro no Ministério da Saúde.  </t>
  </si>
  <si>
    <t>7.        </t>
  </si>
  <si>
    <t>Água para autoclave</t>
  </si>
  <si>
    <t>Água quimicamente pura (isenta de íons) de baixa condutividade, indicada para uso em autoclave. Apresentação: galão PET de 5000 ml trazendo externamente os dados de identificação, procedência, número de lote, validade e registro no Ministério da Saúde.</t>
  </si>
  <si>
    <t>8.        </t>
  </si>
  <si>
    <t>Agulha gengival descartável 30G curta</t>
  </si>
  <si>
    <t>Agulhas descartáveis gengivais nº 30 G - curta para seringa carpule de uso odontológico, 0.30 mm X 22 mm, estéreis, com bisel trifacetado e siliconizadas externamente em todo corpo, canhão de material plástico atóxico com rosca interna para fixar-se à seringa, com protetor plástico rígido para não danificar o bisel e não permitir acidentes no manuseio. Prazo de validade de no mínimo 36 meses a partir da data de entrega.  Apresentação: caixa com 100 peças trazendo externamente os dados de identificação, procedência, número de lote, validade e registro no Ministério da Saúde.</t>
  </si>
  <si>
    <t>Cx</t>
  </si>
  <si>
    <t>9.        </t>
  </si>
  <si>
    <t>Agulha hipodérmica 25 X 0,7</t>
  </si>
  <si>
    <t>Agulhas hipodérmicas descartáveis para uso em seringa hipodérmica, tamanho 25 X 0,7 estéreis, com bisel trifacetado, canhão de material plástico atóxico com fixação perfeita à seringa, confeccionadas em aço inox sem rebarbas, embaladas individualmente em blister de plástico e papel grau cirúrgico.  Apresentação: caixa com 100 peças trazendo externamente os dados de identificação, procedência, número de lote, validade e registro no Ministério da Saúde.</t>
  </si>
  <si>
    <t>10.    </t>
  </si>
  <si>
    <t>Alavanca Seldin 1 L</t>
  </si>
  <si>
    <t>Alavanca Seldin modelo 1 L,  para uso em cirurgia bucomaxilofacial, fabricada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</si>
  <si>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11.    </t>
  </si>
  <si>
    <t>Alavanca Seldin 1 R</t>
  </si>
  <si>
    <t>Alavanca Seldin modelo 1 R, para uso em cirurgia bucomaxilofacial, fabricada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</si>
  <si>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12.    </t>
  </si>
  <si>
    <t>Alavanca Seldin reta</t>
  </si>
  <si>
    <t>Alavanca Seldin reta nº 2, para uso em cirurgia bucomaxilofacial, fabricada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</si>
  <si>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13.    </t>
  </si>
  <si>
    <t>Alavanca Seldin 1L infantil</t>
  </si>
  <si>
    <t>Alavanca Seldin modelo 1 L infantil,  para uso em cirurgia bucomaxilofacial, fabricada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</si>
  <si>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14.    </t>
  </si>
  <si>
    <t>Alavanca Seldin 1R infantil</t>
  </si>
  <si>
    <t>Alavanca Seldin modelo 1 R infantil,  para uso em cirurgia bucomaxilofacial, fabricada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</si>
  <si>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15.    </t>
  </si>
  <si>
    <t>Alavanca Seldin reta infantil nº 2</t>
  </si>
  <si>
    <t>Alavanca Seldin reta infantil nº 2, para uso em cirurgia bucomaxilofacial, fabricada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</si>
  <si>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16.    </t>
  </si>
  <si>
    <t>Álcool Etílico na concentração de 70° INPM</t>
  </si>
  <si>
    <t>Álcool incolor, límpido, composto de 70% de álcool etílico e 30% de água. Volátil. Apresentação: frasco transparente com 1000 ml trazendo externamente os dados de identificação, procedência, número de lote, validade e registro no Ministério da Saúde.</t>
  </si>
  <si>
    <t>L</t>
  </si>
  <si>
    <t>17.    </t>
  </si>
  <si>
    <t>Álcool Etílico na concentração de 92,8° INPM</t>
  </si>
  <si>
    <t>Álcool Etílico Hidratado Industrial incolor, límpido, composto de 92,8% de álcool e 7.2% de água (em volume). Volátil. Inflamável. Apresentação: frasco transparente com 1000 ml trazendo externamente os dados de identificação, procedência, número de lote, validade e registro no Ministério da Saúde.</t>
  </si>
  <si>
    <t>18.    </t>
  </si>
  <si>
    <t>Alginato</t>
  </si>
  <si>
    <t>Material de moldagem elástico para impressão de elevada estabilidade dimensional, livre de poeira e de presa rápida, tixotrópico e consistência suave, com sabor de mangostão (fruta asiática) e na cor lilás, para uso Odontológico. Atende a especificação G.B.M.D. e as normas de especificação nº 18 da A.D.A. As impressões obtidas tem conservação duráveis ​​(cinco dias de estabilidade dimensional, com apenas 0,5% de encolhimento).  Com tempo de mistura menor do que 30″, e tempo de trabalho de 1′05″,  recuperação elástica de 98 % (ISSO 1563), deformação permanente de 13% de acordo com o ISO 1563 e com perda de água após 120 horas de 0,5% permitindo vazamento de gesso em até 5 dias. Prazo de validade de no mínimo 20 meses a partir da data de entrega. Apresentação: pacote contendo 453 g do produto, trazendo externamente os dados de identificação, procedência, número de lote, validade e registro no Ministério da Saúde.</t>
  </si>
  <si>
    <t>Pct</t>
  </si>
  <si>
    <t>19.    </t>
  </si>
  <si>
    <t>Algodão em roletes</t>
  </si>
  <si>
    <t>Algodão hidrófilo, prensado em roletes, para uso odontológico medindo aproximadamente 4 cm de comprimento e 10 mm de diâmetro. O algodão deverá apresentar aspecto homogêneo e macio, boa absorção, ser inodoro, de cor branca (no mínimo 80% de brancura). Apresentação: Embalagem em pacote com 100 roletes trazendo externamente os dados de identificação, procedência, número de lote, validade e registro no Ministério da Saúde.</t>
  </si>
  <si>
    <t>20.    </t>
  </si>
  <si>
    <t>Alicate perfurador de lençol de borracha</t>
  </si>
  <si>
    <t>Alicate indicado para perfuração de lençol de borracha, fabricado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</si>
  <si>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21.    </t>
  </si>
  <si>
    <t>Anestésico Mepivacaína com Epinefrina</t>
  </si>
  <si>
    <t>Anestésico injetável local Cloridrato de Mepivacaína a 2% com Epinefrina, cada ml contendo 20mg de Cloridrato de Mepivacaína e 10 microgramas de Epinefrina (1:100.000). Prazo de validade de no mínimo 20 meses a partir da data de entrega. Apresentação: caixa com 50 tubetes de cristal fechados contendo 1,8ml e embalados em cartelas trazendo externamente os dados de identificação, procedência, número de lote, validade e registro no Ministério da Saúde.</t>
  </si>
  <si>
    <t>22.    </t>
  </si>
  <si>
    <t>Anestésico Lidocaína com Epinefrina</t>
  </si>
  <si>
    <t>Anestésico injetável local Cloridrato de Lidocaína a 2% com Epinefrina, cada ml contendo 20mg de Cloridrato de Lidocaína e 10 microgramas de Epinefrina (1:100.000). Prazo de validade de no mínimo 20 meses a partir da data de entrega. Apresentação: caixa com 50 tubetes de cristal fechados contendo 1,8ml e embalados em cartelas trazendo externamente os dados de identificação, procedência, número de lote, validade e registro no Ministério da Saúde.</t>
  </si>
  <si>
    <t>23.    </t>
  </si>
  <si>
    <t>Anestésico Prilocaína com Felipressina</t>
  </si>
  <si>
    <t>Anestésico injetável local Prilocaína com Felipressina, cada ml contendo 30mg de Cloridrato de Prilocaína e 0,03 U.I. deFelipressina. Prazo de validade de no mínimo 20 meses a partir da data de entrega. Apresentação: caixa com 50 tubetes de cristal fechados contendo 1,8ml e embalados em cartelas trazendo externamente os dados de identificação, procedência, número de lote, validade e registro no Ministério da Saúde.</t>
  </si>
  <si>
    <t>24.    </t>
  </si>
  <si>
    <t>Anestésico Articaína com Epinefrina</t>
  </si>
  <si>
    <t>Anestésico injetável local Cloridrato de Articaína com Epinefrina – Articaína HCI 4% com Epinefrina 1:100.000. Prazo de validade de no mínimo 20 meses a partir da data de entrega. Apresentação: Caixa com 50 tubetes de cristal fechados contendo 1,8 ml e embalados em cartela trazendo externamente os dados de identificação, procedência, número de lote, validade e registro no Ministério da Saúde.</t>
  </si>
  <si>
    <t>25.    </t>
  </si>
  <si>
    <t>Anestésico Mepivacaína sem vasoconstritor</t>
  </si>
  <si>
    <t>Anestésico injetável local Mepivacaínaà 3% sem vasoconstritor, cada ml contendo 30mg de Cloridrato de Mepivacaína. Prazo de validade de no mínimo 18 meses a partir da data de entrega. Apresentação: caixa com 50 tubetes de cristal fechados contendo 1,8ml e embalados em cartelas trazendo externamente os dados de identificação, procedência, número de lote, validade e registro no Ministério da Saúde.</t>
  </si>
  <si>
    <t>26.    </t>
  </si>
  <si>
    <t>Anestésico tópico</t>
  </si>
  <si>
    <t xml:space="preserve">Anestésico tópico gel benzocaína para aplicação tópica oral ou na mucosa. Contém 200 mg de benzocaína por grama. Não é injetável. Apresentação: embalagem contendo 12 g do gel trazendo externamente os dados de identificação, procedência, número de lote, validade e registro no Ministério da Saúde.  </t>
  </si>
  <si>
    <t>27.    </t>
  </si>
  <si>
    <t>Aplicador descartável fino</t>
  </si>
  <si>
    <t>Aplicador de uso odontológico fino, descartável, com hastes dobráveis, porção ativa em fibras não absorventes, para aplicação de selantes e agentes adesivos. Apresentação: embalagem contendo 100 unidades trazendo externamente dados de identificação, procedência, número do lote, validade e número de registro no Ministério da Saúde.</t>
  </si>
  <si>
    <t>28.    </t>
  </si>
  <si>
    <t>Aplicador descartável extra-fino</t>
  </si>
  <si>
    <t>Aplicador de uso odontológico extra-fino, descartável, com hastes dobráveis, porção ativa em fibras não absorventes, para aplicação de selantes e agentes adesivos. Apresentação: embalagem contendo 100 unidades trazendo externamente dados de identificação, procedência, número do lote, validade e número de registro no Ministério da Saúde.</t>
  </si>
  <si>
    <t>29.    </t>
  </si>
  <si>
    <t>Bicarbonato de sódio</t>
  </si>
  <si>
    <t>Pó ultrafino de Bicarbonato de sódio para uso em profilaxia odontológica com granulometria controlada permitindo jateamento contínuo e sem entupimentos.  Composição: bicarbonato de sódio puro 99,7% (carbonato ácido de sódio). Prazo de validade de no mínimo 24 meses a partir da data de entrega. Apresentação: frasco contendo 500g trazendo externamente os dados de identificação, procedência, número de lote, validade e registro no Ministério da Saúde.</t>
  </si>
  <si>
    <t>30.    </t>
  </si>
  <si>
    <t>Broca de aço esférica nº 1/4</t>
  </si>
  <si>
    <t>Broca de aço esférica nº 1/4 para contra-ângulo. Apresentação: embalagem individual trazendo externamente os dados de identificação, procedência, número de lote, validade e registro no Ministério da Saúde.</t>
  </si>
  <si>
    <t>31.    </t>
  </si>
  <si>
    <t>Broca de aço esférica nº 1/2</t>
  </si>
  <si>
    <t>Broca de aço esférica nº 1/2 para contra-ângulo. Apresentação: embalagem individual trazendo externamente os dados de identificação, procedência, número de lote, validade e registro no Ministério da Saúde.</t>
  </si>
  <si>
    <t>32.    </t>
  </si>
  <si>
    <t>Broca de aço esférica nº 1</t>
  </si>
  <si>
    <t>Broca de aço esférica nº 1 para contra-ângulo Apresentação: embalagem individual trazendo externamente os dados de identificação, procedência, número de lote, validade e registro no Ministério da Saúde.</t>
  </si>
  <si>
    <t>33.    </t>
  </si>
  <si>
    <t>Broca de aço esférica nº 2</t>
  </si>
  <si>
    <t>Broca de aço esférica nº 2 para contra-angulo. Aesentação: embalagem individual trazendo externamente os dados de identificação, procedência, número de lote, validade e registro no Ministério da Saúde.</t>
  </si>
  <si>
    <t>34.    </t>
  </si>
  <si>
    <t>Broca de aço esférica nº 3</t>
  </si>
  <si>
    <t>Broca de aço esférica nº 3 para contra-ângulo. Apresentação: embalagem individual trazendo externamente os dados de identificação, procedência, número de lote, validade e registro no Ministério da Saúde.</t>
  </si>
  <si>
    <t>35.    </t>
  </si>
  <si>
    <t>Broca de aço esférica nº 4</t>
  </si>
  <si>
    <t>Broca de aço esférica nº 4 para contra-ângulo. Apresentação: embalagem individual trazendo externamente os dados de identificação, procedência, número de lote, validade e registro no Ministério da Saúde.</t>
  </si>
  <si>
    <t>36.    </t>
  </si>
  <si>
    <t>Broca de aço esférica nº 5</t>
  </si>
  <si>
    <t>Broca de aço esférica nº 5 para contra-ângulo.  Apresentação: embalagem individual trazendo externamente os dados de identiicação, procedência, número de lote, validade e registro no Ministério da Saúde.</t>
  </si>
  <si>
    <t>37.    </t>
  </si>
  <si>
    <t>Broca de aço esférica nº 6</t>
  </si>
  <si>
    <t>Broca de aço esférica nº 6 para contra-ângulo. Apresentação: embalagem individual trazendo externamente os dados de identificação, procedência, número de lote, validade e registro no Ministério da Saúde.</t>
  </si>
  <si>
    <t>38.    </t>
  </si>
  <si>
    <t>Broca de aço esférica nº 8</t>
  </si>
  <si>
    <t>Broca de aço esférica nº 8 para contra-ângulo. Apresentação: embalagem individual trazendo externamente os dados de identificação, procedência, número de lote, validade e registro no Ministério da Saúde.</t>
  </si>
  <si>
    <t>39.    </t>
  </si>
  <si>
    <t>Broca de aço esférica nº1/4 haste longa (28 mm)</t>
  </si>
  <si>
    <t>Broca de aço esférica nº 1/4 de haste longa (28mm) para contra-ângulo. Apresentação: embalagem individual trazendo externamente os dados de identificação, procedência, número de lote, validade e registro no Ministério da Saúde.</t>
  </si>
  <si>
    <t>40.    </t>
  </si>
  <si>
    <t>Broca de aço esférica nº1/2 haste longa (28 mm)</t>
  </si>
  <si>
    <t>Broca de aço esférica nº 1/2 de haste longa (28mm) para contra-ângulo. Apresentação: embalagem individual trazendo externamente os dados de identificação, procedência, número de lote, validade e registro no Ministério da Saúde.</t>
  </si>
  <si>
    <t>41.    </t>
  </si>
  <si>
    <t>Broca de aço esférica nº1 haste longa (28 mm)</t>
  </si>
  <si>
    <t>Broca de aço esférica nº 1 de haste longa (28mm) para contra-ângulo. Apresentação: embalagem individual trazendo externamente os dados de identificação, procedência, número de lote, validade e registro no Ministério da Saúde.</t>
  </si>
  <si>
    <t>42.    </t>
  </si>
  <si>
    <t>Broca de aço esférica nº2 haste longa (28 mm)</t>
  </si>
  <si>
    <t>Broca de aço esférica nº 2 de haste longa (28mm) para contra-ângulo. Apresentação: embalagem individual trazendo externamente os dados de identificação, procedência, número de lote, validade e registro no Ministério da Saúde.</t>
  </si>
  <si>
    <t>43.    </t>
  </si>
  <si>
    <t>Broca de aço esférica nº3 haste longa (28 mm)</t>
  </si>
  <si>
    <t>Broca de aço esférica nº 3 de haste longa (28mm) para contra-ângulo. Apresentação: embalagem individual trazendo externamente os dados de identificação, procedência, número de lote, validade e registro no Ministério da Saúde.</t>
  </si>
  <si>
    <t>44.    </t>
  </si>
  <si>
    <t>Broca de aço esférica nº4 haste longa (28 mm)</t>
  </si>
  <si>
    <t>Broca de aço esférica nº 4 de haste longa (28mm) para contra-ângulo. Apresentação: embalagem individual trazendo externamente os dados de identificação, procedência, número de lote, validade e registro no Ministério da Saúde.</t>
  </si>
  <si>
    <t>45.    </t>
  </si>
  <si>
    <t>Broca tipo Zekrya número 151</t>
  </si>
  <si>
    <t>Broca cônica extralonga com topo arredondado número 151 confeccionada em aço carbide, para alta rotação, com desempenho livre de vibrações. Ponta ativa de 11 mm e comprimento total de 28 mm com seis lâminas helicoidais sem rebarbas ou sinais de oxidação. Esterilizável através de calor úmido. Apresentação: embalagem individual trazendo externamente os dados de identificação, procedência, número de lote, validade e registro no Ministério da Saúde.</t>
  </si>
  <si>
    <t>46.    </t>
  </si>
  <si>
    <t>Broca tipo Endo Z</t>
  </si>
  <si>
    <t xml:space="preserve">Broca tronco-cônica de aço carbide com extremidade inativa. Indicada para o preparo da câmara pulpar. Esterilizável através de calor úmido. Apresentação: embalagem individual trazendo externamente os dados de identificação, procedência, número de lote, validade e registro no Ministério da Saúde.  </t>
  </si>
  <si>
    <t>47.    </t>
  </si>
  <si>
    <t>Broca cirúrgica 701 para peça reta</t>
  </si>
  <si>
    <t>Broca odontológica Cirúrgica de aço carbide, nº 701 de 45 mm para peça reta. Esterilizável através de calor úmido. Apresentação: embalagem individual trazendo externamente dados de identificação, procedência, número de lote, validade e registro no MS-ANVISA.</t>
  </si>
  <si>
    <t>48.    </t>
  </si>
  <si>
    <t>Broca cirúrgica 702 para peça reta</t>
  </si>
  <si>
    <t>Broca odontológica Cirúrgica de aço carbide, nº 702 de 45 mm para peça reta. Esterilizável através de calor úmido. Apresentação: embalagem individual trazendo externamente dados de identificação, procedência, número de lote, validade e registro no MS-ANVISA.</t>
  </si>
  <si>
    <t>49.    </t>
  </si>
  <si>
    <t>Broca cirúrgica 703 para peça reta</t>
  </si>
  <si>
    <t>Broca odontológica Cirúrgica de aço carbide, nº 703 de 45 mm para peça reta. Esterilizável através de calor úmido. Apresentação: embalagem individual trazendo externamente dados de identificação, procedência, número de lote, validade e registro no MS-ANVISA.</t>
  </si>
  <si>
    <t>50.    </t>
  </si>
  <si>
    <t>Broca cirúrgica 701L para peça reta</t>
  </si>
  <si>
    <t>Broca odontológica Cirúrgica de aço carbide longa, nº 701L de 45 mm para peça reta. Esterilizável através de calor úmido. Apresentação: embalagem individual trazendo externamente dados de identificação, procedência, número de lote, validade e registro no MS-ANVISA.</t>
  </si>
  <si>
    <t>51.    </t>
  </si>
  <si>
    <t>Broca cirúrgica 702L para peça reta</t>
  </si>
  <si>
    <t>Broca odontológica Cirúrgica de aço carbide longa, nº 702L de 45 mm para peça reta. Esterilizável através de calor úmido. Apresentação: embalagem individual trazendo externamente dados de identificação, procedência, número de lote, validade e registro no MS-ANVISA.</t>
  </si>
  <si>
    <t>52.    </t>
  </si>
  <si>
    <t>Broca cirúrgica 703L para peça reta</t>
  </si>
  <si>
    <t>Broca odontológica Cirúrgica de aço carbide longa, nº 703L de 45 mm para peça reta. Esterilizável através de calor úmido. Apresentação: embalagem individual trazendo externamente dados de identificação, procedência, número de lote, validade e registro no MS-ANVISA.</t>
  </si>
  <si>
    <t>53.    </t>
  </si>
  <si>
    <t>Broqueiro para brocas de alta rotação (FG)</t>
  </si>
  <si>
    <t>Broqueiro para armazenamento e esterilização de brocas de alta rotação, com 15 furos, confeccionado em alumínio, autoclavável. Apresentação: embalagem individual trazendo externamente dados de identificação, procedência, número de lote e registro no MS-ANVISA.</t>
  </si>
  <si>
    <t>54.    </t>
  </si>
  <si>
    <t>Broqueiro para brocas de baixa rotação (CA)</t>
  </si>
  <si>
    <t>Broqueiro para armazenamento e esterilização de brocas de baixa rotação, com 15 furos, confeccionado em alumínio, autoclavável. Apresentação: embalagem individual trazendo externamente dados de identificação, procedência, número de lote e registro no MS-ANVISA.</t>
  </si>
  <si>
    <t>55.    </t>
  </si>
  <si>
    <t>Cabo para espelho clínico nº 25</t>
  </si>
  <si>
    <t>Cabo para espelho clínico nº 25 confeccionado em aço inoxidável tipo AISI 420 com corpo ranhurado e ponta ativa adequada para adaptação de espelho clínico. Polimento perfeito, livre de rebarbas e sinais de oxidação devendo ser resistente aos métodos normalmente usados de desinfecção e esterilização. Apresentação: embalagem individual trazendo externamente os dados de identificação, procedência, número de lote e registro no Ministério da Saúde.</t>
  </si>
  <si>
    <t>56.    </t>
  </si>
  <si>
    <t>Campos impermeáveis descartáveis</t>
  </si>
  <si>
    <t>Campos tipo babador odontológico, com 2 camadas sendo 1 camada de papel absorvente e 1 camada de plástico impermeável, com cores variadas e com dispensador plástico incolor, dimensões mínimas 30 X 40 cm. Apresentação: Pacote contendo 100 unidades trazendo externamente os dados de identificação, procedência, número de lote e registro no Ministério da Saúde.</t>
  </si>
  <si>
    <t>57.    </t>
  </si>
  <si>
    <t>Cariostático</t>
  </si>
  <si>
    <t>Solução aquosa com ácido fluorídrico, nitrato de prata e hidróxido de amônia a 12 %, que reagem formando fluoreto de cálcio e fosfato de prata na presença de dentina, usado para inibição da cárie dental em crianças. Apresentação: frasco com 10 ml, trazendo externamente os dados de identificação, procedência, número de lote, validade e registro no Ministério da Saúde.</t>
  </si>
  <si>
    <t>58.    </t>
  </si>
  <si>
    <t>Cartelas radiográficas 1 furo</t>
  </si>
  <si>
    <t>Cartelas para armazenamento e visualização de filmes de raio-x, com 1 furo, confeccionadas em papel 240g. Apresentação: embalagens com 100 unidades trazendo externamente os dados de identificação, procedência, número de lote e registro no Ministério da Saúde.</t>
  </si>
  <si>
    <t>59.    </t>
  </si>
  <si>
    <t>Cartelas radiográficas 2 furos</t>
  </si>
  <si>
    <t>Cartelas para armazenamento e visualização de filmes de raio-x, com 2 furos, em papel 240g. Apresentação: embalagens com 100 unidades trazendo externamente os dados de identificação, procedência, número de lote e registro no Ministério da Saúde.</t>
  </si>
  <si>
    <t>60.    </t>
  </si>
  <si>
    <t>Cartelas radiográficas 4 furos</t>
  </si>
  <si>
    <t>Cartelas para armazenamento e visualização de filmes de raio-x, com 4 furos, confeccionadas em papel 240g. Apresentação: embalagens com 50 unidades trazendo externamente os dados de identificação, procedência, número de lote e registro no Ministério da Saúde.</t>
  </si>
  <si>
    <t>61.    </t>
  </si>
  <si>
    <t>Cera nº 7</t>
  </si>
  <si>
    <t>Cera nº 7 rosa, em lâminas, com boa flexibilidade, indicada para registro de mordida.  Apresentação: embalagens com 18 lâminas trazendo externamente os dados de identificação, procedência, número de lote e registro no Ministério da Saúde.</t>
  </si>
  <si>
    <t>62.    </t>
  </si>
  <si>
    <t>Cimento de Ionômero de Vidro</t>
  </si>
  <si>
    <t>Conjunto para obtenção de Cimento de ionômero de vidro para restauração de cavidades promovendo selamento marginal, isolamento térmico, químico e liberação de flúor, na cor A3. Prazo de validade de no mínimo 24 meses a partir da data de entrega. Apresentação: Caixa contendo frasco de pó, frasco de líquido, dosador para pó e bloco para espatulação trazendo externamente os dados de identificação, procedência, número de lote, validade e registro no Ministério da Saúde.</t>
  </si>
  <si>
    <t>Kit</t>
  </si>
  <si>
    <t>63.    </t>
  </si>
  <si>
    <t xml:space="preserve">Cimento Obturador </t>
  </si>
  <si>
    <t>Conjunto para obtenção de cimento radiopaco, impermeável e biocompatível para obturação de canais radiculares, composto de óxido de zinco, eugenol e óleo de amêndoas. Tempo de trabalho mínimo aproximado de 20 minutos. Apresentação: Caixa contendo frasco de pó com 12 g e líquido de 10 ml trazendo externamente dados de identificação, procedência, número de lote, validade e número de registro no Ministério da Saúde.</t>
  </si>
  <si>
    <t>64.    </t>
  </si>
  <si>
    <t>Cinzel de Micro-Ochsenbein nº 1</t>
  </si>
  <si>
    <t>Cinzel ósseo para uso em cirurgia periodontal e bucomaxilofacial, tipo Ochsenbeim nº 1, fabricado em aço inoxidável AISI-420, com pontas ativas adequadas a sua função. Polimento perfeito, livre de rebarbas e sinais de oxidação, e deve ser resistente aos métodos normalmente usados de desinfecção e esterilização. Apresentação: embalagem individual trazendo externamente os dados de identificação, procedência, número de lote e registro no Ministério da Saúde.</t>
  </si>
  <si>
    <t>65.    </t>
  </si>
  <si>
    <t>Condensador de McSpadden nº 35 de 25mm</t>
  </si>
  <si>
    <t>Condensador de McSpadden, para uso em contra-ângulo para obter a termoplastificação da gutta-percha, calibre 35, com 25 mm, confeccionado em aço inoxidável, sem sinais de oxidação, esterilizável através de calor úmido ou seco sem sofrer oxidação. Apresentação: embalagem em caixas de 01 unidade, trazendo externamente os dados de identificação, procedência, número do lote e número de registro no Ministério da Saúde.</t>
  </si>
  <si>
    <t xml:space="preserve"> </t>
  </si>
  <si>
    <t>66.    </t>
  </si>
  <si>
    <t>Condensador de McSpadden nº 40 de 25mm</t>
  </si>
  <si>
    <t>Condensador de McSpadden, para uso em contra-ângulo para obter a termoplastificação da gutta-percha, calibre 40, com 25 mm, confeccionado em aço inoxidável, sem sinais de oxidação, esterilizável através de calor úmido ou seco sem sofrer oxidação. Apresentação: embalagem em caixas de 01 unidade, trazendo externamente os dados de identificação, procedência, número do lote e número de registro no Ministério da Saúde.</t>
  </si>
  <si>
    <t>67.    </t>
  </si>
  <si>
    <t>Condensador de McSpadden nº 45 de 25mm</t>
  </si>
  <si>
    <t>Condensador de McSpadden, para uso em contra-ângulo para obter a termoplastificação da gutta-percha, calibre 45, com 25 mm, confeccionada em aço inoxidável, sem sinais de oxidação, esterilizável através de calor úmido ou seco sem sofrer oxidação. Apresentação: embalagem em caixas de 01 unidade, trazendo externamente os dados de identificação, procedência, número do lote e número de registro no Ministério da Saúde.</t>
  </si>
  <si>
    <t>68.    </t>
  </si>
  <si>
    <t>Cone de gutta- percha nº 30</t>
  </si>
  <si>
    <t>Cone de gutta-percha calibre 30, confeccionado à base de guta percha, óxido de zinco e corantes. O cone deverá ser resistente, maleável, radiopaco, manter estabilidade dimensional sem romper, não ressecar, ter tolerância tecidual e prover selamento apical. Apresentação: caixa contendo 120 cones trazendo externamente os dados de identificação, procedência, número de lote e registro no Ministério da Saúde.</t>
  </si>
  <si>
    <t>69.    </t>
  </si>
  <si>
    <t>Cone de gutta- percha nº 35</t>
  </si>
  <si>
    <t>Cone de gutta-percha calibre 35, confeccionado à base de gutta-percha, óxido de zinco e corantes. O cone deverá ser resistente, maleável, radiopaco, manter estabilidade dimensional sem romper, não ressecar, ter tolerância tecidual e prover selamento apical. Apresentação: caixa contendo 120 cones trazendo externamente os dados de identificação, procedência, número de lote e registro no Ministério da Saúde.</t>
  </si>
  <si>
    <t>70.    </t>
  </si>
  <si>
    <t>Cone de gutta -percha nº 40</t>
  </si>
  <si>
    <t>Cone de gutta-percha calibre 40, confeccionado à base de gutta-percha, óxido de zinco e corantes. O cone deverá ser resistente, maleável, radiopaco, manter estabilidade dimensional sem romper, não ressecar, ter tolerância tecidual e prover selamento apical. Apresentação: caixa contendo 120 cones trazendo externamente os dados de identificação, procedência, número de lote e registro no Ministério da Saúde.</t>
  </si>
  <si>
    <t>71.    </t>
  </si>
  <si>
    <t>Cone de gutta- percha 2ª série</t>
  </si>
  <si>
    <t>Cones de gutta-percha calibres 45, 50, 55, 60, 70 e 80, confeccionados à base de guta percha, óxido de zinco e corantes. Os cones deverão ser resistentes, maleáveis, radiopacos, manter estabilidade dimensional sem romper, não ressecar, ter tolerância tecidual e prover selamento apical. Apresentação: caixa contendo 120 cones trazendo externamente os dados de identificação, procedência, número de lote e registro no Ministério da Saúde.</t>
  </si>
  <si>
    <t>Cone de gutta- percha acessória R7</t>
  </si>
  <si>
    <t>Cones de gutta-percha acessória calibre R7 confeccionados à base de gutta-percha, óxido de zinco e corantes. Os cones deverão ser resistentes, maleáveis, radiopacos, manter estabilidade dimensional sem romper, não ressecar, ter tolerância tecidual e prover selamento apical. Apresentação: caixa contendo 120 cones trazendo externamente os dados de identificação, procedência, número de lote e registro no Ministério da Saúde.</t>
  </si>
  <si>
    <t>73.    </t>
  </si>
  <si>
    <t>Cone de Papel nº 30</t>
  </si>
  <si>
    <t>Cones de papel calibre 30, confeccionados em papel absorvente, com aproximadamente 28 mm de comprimento, isentos de contaminação. Apresentação: Caixa contendo 120 cones separados em seis grupos de 20 cones, trazendo externamente os dados de identificação, procedência, número de lote e registro no Ministério da Saúde.</t>
  </si>
  <si>
    <t>74.    </t>
  </si>
  <si>
    <t>Cone de Papel nº 35</t>
  </si>
  <si>
    <t>Cones de papel calibre 35, confeccionados em papel absorvente, isentos de contaminação com aproximadamente 28 mm de comprimento, conforme constar do registro do produto. Apresentação: Caixa contendo 120 cones separados em 20 cones, trazendo externamente os dados de identificação, procedência, número de lote e registro no Ministério da Saúde.</t>
  </si>
  <si>
    <t>75.    </t>
  </si>
  <si>
    <t>Cone de papel nº 40</t>
  </si>
  <si>
    <t>Cones de papel calibre 40, confeccionados em papel absorvente, com aproximadamente 28 mm de comprimento, isentos de contaminação. Apresentação: Caixa contendo 120 cones separados em grupos de 20 cones,  trazendo externamente os dados de identificação, procedência, número de lote e registro no Ministério da Saúde.</t>
  </si>
  <si>
    <t>76.    </t>
  </si>
  <si>
    <t>Cone de papel 2ª série</t>
  </si>
  <si>
    <t>Conjunto de cones de papel calibres 45, 50, 55, 60, 70, 80 confeccionados em papel absorvente, com aproximadamente 28 mm de comprimento, isentos de contaminação,. Apresentação: Caixa contendo 120 cones separados em grupos de 20 cones de cada medida trazendo externamente os dados de identificação, procedência, número de lote e registro no Ministério da Saúde.</t>
  </si>
  <si>
    <t>77.    </t>
  </si>
  <si>
    <t>Cunha interdental</t>
  </si>
  <si>
    <t>Cunha cervical em madeira maleável, com secção triangular e sem farpas. Apresentação: pacote contendo 100 cunhas de diversos tamanhos trazendo externamente os dados de identificação, procedência, número de lote e validade e registro no Ministério da Saúde.</t>
  </si>
  <si>
    <t>78.    </t>
  </si>
  <si>
    <t>Descolador Molt 2-4 18 cm</t>
  </si>
  <si>
    <t>Descolador duplo tipo Molt nº 2-4, com 18 cm de comprimento, para uso em cirurgia bucomaxilofacial, fabricado em aço inoxidável AISI-420, com pontas ativas adequadas a sua função. Polimento perfeito, livre de rebarbas e sinais de oxidação, e deve ser resistente aos métodos normalmente usados de desinfecção e esterilização. Apresentação: embalagem individual trazendo externamente os dados de identificação, procedência, número de lote e registro no Ministério da Saúde.</t>
  </si>
  <si>
    <t>79.    </t>
  </si>
  <si>
    <t>Edta Trissódico</t>
  </si>
  <si>
    <t>Ácido Etilenodiaminotetracético Trissódico (EDTA Trissódico 16%), Solução de Hidróxido de sódio e veículo aquoso. Prazo de validade de no mínimo 18 meses a partir da data de entrega. Apresentação: Frasco gotejador contendo 20 ml de solução trazendo externamente dados de identificação, procedência, número do lote, validade e número de registro no Ministério da Saúde.</t>
  </si>
  <si>
    <t>80.    </t>
  </si>
  <si>
    <t>Escova de Robinson</t>
  </si>
  <si>
    <t>Escova de Robinson para uso odontológico, com cerdas de silicone, para contra-ângulo e baixa rotação, para profilaxia. Apresentação: Embalagem individual trazendo externamente os dados de identificação, procedência, número de lote e registro no Ministério da Saúde.</t>
  </si>
  <si>
    <t>81.    </t>
  </si>
  <si>
    <t>Espaçadores digitais A-B-C-D 21 mm</t>
  </si>
  <si>
    <t>Espaçadores digitais indicados para facilitar a obturação de canais radiculares durante a técnica da condensação lateral. Confeccionados em aço inoxidável, esterilizáveis através de calor úmido ou seco sem sofrerem oxidação. Apresentação: embalagem em caixas de 04 unidades nos calibres A, B, C e D, com 21 mm de comprimento, trazendo externamente os dados de identificação, procedência, número do lote e número de registro no Ministério da Saúde.</t>
  </si>
  <si>
    <t>82.    </t>
  </si>
  <si>
    <t>Espaçadores digitais A-B-C-D 25 mm</t>
  </si>
  <si>
    <t>Espaçadores digitais indicados para facilitar a obturação de canais radiculares durante a técnica da condensação lateral. Confeccionados em aço inoxidável, esterilizáveis através de calor úmido ou seco sem sofrerem oxidação. Apresentação: embalagem em caixas de 04 unidades nos calibres A, B, C e D, com 25 mm de comprimento, trazendo externamente os dados de identificação, procedência, número do lote e número de registro no Ministério da Saúde.</t>
  </si>
  <si>
    <t>83.    </t>
  </si>
  <si>
    <t>Espátula de inserção nº 6332 nº 2</t>
  </si>
  <si>
    <t>Espátula de inserção nº 6332 nº 2 confeccionada em aço inoxidável tipo AISI 420, com corpo ranhurado e oitavado e ponta ativa adequada a inserção de materiais na cavidade bucal. Apresenta polimento perfeito, livre de rebarbas e sinais de oxidação e deve ser resistente aos métodos normalmente usados de desinfecção e esterilização. Apresentação: Embalagem individual trazendo externamente os dados de identificação, procedência, número de lote e registro no Ministério da Saúde.</t>
  </si>
  <si>
    <t>84.    </t>
  </si>
  <si>
    <t>Espátula de resina composta tipo Thompson nº 1</t>
  </si>
  <si>
    <t>Espátula de resina composta tipo Thompson nº 1 com ponta ativa banhada com nitreto de titânio e adequada a inserção de resinas composta sem que haja aderência das mesmas no instrumental. Apresenta polimento perfeito, livre de rebarbas e sinais de oxidação e deve ser resistente aos métodos normalmente usados de desinfecção e esterilização. Apresentação: Embalagem individual trazendo externamente os dados de identificação, procedência, número de lotes e registro no Ministério da Saúde.</t>
  </si>
  <si>
    <t>85.    </t>
  </si>
  <si>
    <t>Espátula de resina composta tipo Thompson nº 6</t>
  </si>
  <si>
    <t>Espátula de resina composta tipo Thompson nº 6 com ponta ativa banhada com nitreto de titânio e adequada a inserção de resinas composta sem que haja aderência das mesmas no instrumental. Apresenta polimento perfeito, livre de rebarbas e sinais de oxidação e deve ser resistente aos métodos normalmente usados de desinfecção e esterilização. Apresentação: Embalagem individual trazendo externamente os dados de identificação, procedência, número de lotes e registro no Ministério da Saúde.</t>
  </si>
  <si>
    <t>86.    </t>
  </si>
  <si>
    <t>Espelho bucal nº 5</t>
  </si>
  <si>
    <t>Espelho Bucal nº 5 confeccionado em aço inoxidável tipo AISI 420, com corpo arredondado e ponta ativa adequada para adaptação em cabo específico, indicado para a verificação da cavidade bucal durante o diagnóstico e tratamento dentário. Apresenta polimento perfeito, livre de rebarbas e sinais de oxidação e deve ser resistente aos métodos normalmente usados de desinfecção e esterilização. Apresentação: Embalagem individual trazendo externamente os dados de identificação, procedência, número de lote e registro no Ministério da Saúde.</t>
  </si>
  <si>
    <t>87.    </t>
  </si>
  <si>
    <t>Eugenol</t>
  </si>
  <si>
    <t>Solução de eugenol para uso odontológico em associação com Óxido de Zinco. Prazo de validade de no mínimo 12 meses a partir da data de entrega. Apresentação: Frasco escurecido com gotejador contento 20ml de solução trazendo externamente dados de identificação, procedência, número do lote, validade e número de registro no Ministério da Saúde.</t>
  </si>
  <si>
    <t>88.    </t>
  </si>
  <si>
    <t>Extirpa-nervos</t>
  </si>
  <si>
    <t>Kit de instrumentos farpados indicados para a remoção do conteúdo pulpar, confeccionados em aço inox, com 21 mm, pré-esterilizados, nas cores branco, amarelo, vermelho, azul, verde e preto, esterilizáveis através de calor úmido ou seco sem sofrer oxidação. Apresentação: embalagem em blisteres de 10 (dez) unidades, trazendo externamente os dados de identificação, procedência, número do lote e número de registro no Ministério da Saúde.</t>
  </si>
  <si>
    <t>89.    </t>
  </si>
  <si>
    <t>Filme em PVC</t>
  </si>
  <si>
    <t>Filme de PVC esticável, aderente e transparente, indicado para embalar e proteger superfícies no consultório odontológico. Apresentação: embalagem individual contendo uma bobina medindo 28 cm X 100 m trazendo externamente os dados de identificação, procedência, número de lote e prazo de validade.</t>
  </si>
  <si>
    <t>90.    </t>
  </si>
  <si>
    <t>Filme Radiográfico Periapical Adulto</t>
  </si>
  <si>
    <t>Filme radiográfico odontológico, tipo periapical simples, uso adulto, comprimento 4cm, largura 3 cm, ultrarrápido. Apresentação: caixa contendo 150 unidades trazendo externamente dados de identificação, procedência, número do lote, validade e número de registro no Ministério da Saúde.</t>
  </si>
  <si>
    <t>91.    </t>
  </si>
  <si>
    <t>Filme Radiográfico Periapical Infantil</t>
  </si>
  <si>
    <t>Filme radiográfico odontológico, tipo periapical simples, uso infantil, comprimento 3,5 cm, largura 2,20 cm, ultrarrápido. Apresentação: caixa contendo 100 unidades trazendo externamente dados de identificação, procedência, número do lote, validade e número de registro no Ministério da Saúde.</t>
  </si>
  <si>
    <t>92.    </t>
  </si>
  <si>
    <t>Fio de sutura de nylon 2-0</t>
  </si>
  <si>
    <t>Fio de sutura agulhado mononylon 2-0, preto, agulha CTI 3/8 de 3 cm, não absorvível. Prazo de validade de no mínimo 2 anos a partir da data de entrega. Apresentação: Caixa com 24 unidades em embalagem individual estéreis, trazendo externamente dados de identificação, procedência, número do lote, validade e número de registro no Ministério da Saúde.</t>
  </si>
  <si>
    <t>93.    </t>
  </si>
  <si>
    <t>Fio de sutura de nylon 3-0</t>
  </si>
  <si>
    <t>Fio de sutura agulhado mononylon 3-0, preto, agulha CTI 3/8 de 3 cm, não absorvível. Prazo de validade de no mínimo 2 anos a partir da data de entrega. Apresentação: Caixa com 24 unidades em embalagem individual estéreis, trazendo externamente dados de identificação, procedência, número do lote, validade e número de registro no Ministério da Saúde.</t>
  </si>
  <si>
    <t>94.    </t>
  </si>
  <si>
    <t>Fio de sutura de nylon 4-0</t>
  </si>
  <si>
    <t>Fio de sutura agulhado mononylon 4-0, preto, agulha triangular cortante de 1,7cm, não absorvível. Prazo de validade de no mínimo 2 anos a partir da data de entrega. Apresentação: Caixa com 24 unidades em embalagem individual estéreis, trazendo externamente dados de identificação, procedência, número do lote, validade e número de registro no Ministério da Saúde.</t>
  </si>
  <si>
    <t>95.    </t>
  </si>
  <si>
    <t>Fio de sutura de nylon 5-0</t>
  </si>
  <si>
    <t>Fio de sutura agulhado de nylon 5-0, preto, agulha triangular cortante de 1,7cm, não absorvível. Prazo de validade de no mínimo 2 anos a partir da data de entrega. Apresentação: Caixa com 24 unidades em embalagem individual estéreis, trazendo externamente dados de identificação, procedência, número do lote, validade e número de registro no Ministério da Saúde.</t>
  </si>
  <si>
    <t>96.    </t>
  </si>
  <si>
    <t>Fio de sutura de seda 4-0</t>
  </si>
  <si>
    <t>Fio de sutura agulhado de seda 4-0. Trançado preto, agulha triangular cortante de 1,7cm, não absorvível. Prazo de validade de no mínimo 2 anos a partir da data de entrega. Apresentação: Caixa com 24 unidades em embalagem individual estéreis, trazendo externamente dados de identificação, procedência, número do lote, validade e número de registro no Ministério da Saúde.</t>
  </si>
  <si>
    <t>97.    </t>
  </si>
  <si>
    <t>Fio de Sutura Absorvível</t>
  </si>
  <si>
    <t xml:space="preserve">Fio de sutura cirúrgico absorvível, composto de poliglactina 910 diâmetro 5-0, trançado incolor, estéril, medindo aproximadamente 45 cm de comprimento, com agulha cortante 1/2 círculo, triangular medindo 16 mm, com bom corte, que não quebre ou entorte com facilidade. Embalagem apropriada que permita abertura e transferência asséptica, mantendo a integridade do produto. O produto deve seguir a Norma Técnica de ABNT – NBR 13904. Apresentação: Caixa contendo 12 envelopes trazendo externamente os dados de identificação, procedência, número de lote, validade e número do registro da Saúde. </t>
  </si>
  <si>
    <t>98.    </t>
  </si>
  <si>
    <t>Fio dental</t>
  </si>
  <si>
    <t>Fio dental para remoção de placa bacteriana interproximal confeccionado em nylon resistente, com aromatizante, lubrificado com cera natural livre de impurezas. Embalagem em estojo individual de polipropileno com cortador metálico em aço inoxidável. Apresentação: Estojo individual contendo 100 metros de fio trazendo externamente dados de identificação, procedência, número do lote, validade e número de registro no Ministério da Saúde.</t>
  </si>
  <si>
    <t>99.    </t>
  </si>
  <si>
    <t>Fita para autoclave</t>
  </si>
  <si>
    <t>Fita autoclave para identificação de pacotes esterilizados a vapor. Prazo de validade de no mínimo 18 meses a partir da data de entrega. Apresentação: rolo de 19mmx30m trazendo externamente dados de identificação, procedência, número do lote, validade e número de registro no Ministério da Saúde.</t>
  </si>
  <si>
    <t>100.                        </t>
  </si>
  <si>
    <t>Fixador radiográfico</t>
  </si>
  <si>
    <t>Solução fixadora para radiografia odontológica, pronta para uso em processo manual, contendo água (80-85%), tiossulfato de amônio (5 – 10%) e tiocianato de amônio (5 -10 %), o produto deve seguir a NR-32. Apresentação: Frasco com 475 ml trazendo externamente dados de identificação, procedência, número do lote, validade e número de registro no Ministério da Saúde.</t>
  </si>
  <si>
    <t>101.                        </t>
  </si>
  <si>
    <t>Flúor- gel acidulado</t>
  </si>
  <si>
    <t>Fluoreto de Sódio em gel tópico a 1,23%. Sabores cereja e/ou menta e/ou tutti-frutti. Embalado em pote plástico com 200 ml e bico dosador que permita controle de escape. Prazo de validade de no mínimo 18 meses a partir da data de entrega. Apresentação: frasco contendo 200 ml de gel trazendo externamente dados de identificação, procedência, número do lote, validade e número de registro no Ministério da Saúde.</t>
  </si>
  <si>
    <t>102.                        </t>
  </si>
  <si>
    <t>Flúor para bochecho semanal 0,2%</t>
  </si>
  <si>
    <t>Solução de fluoreto de Sódio a 0,2%, indicada para bochecho semanal, para a prevenção de cárie dentária. Sabores  menta e/ou tutti-frutti. Prazo de validade de no mínimo 18 meses a partir da data de entrega.  Apresentação: embalagem plástica com 1000 mL, trazendo externamente dados de identificação, procedência, número do lote, validade e número de registro no Ministério da Saúde.</t>
  </si>
  <si>
    <t>103.                        </t>
  </si>
  <si>
    <t>Fórceps adulto nº 1</t>
  </si>
  <si>
    <t>Fórceps nº 1 adulto, fabricado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</si>
  <si>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104.                        </t>
  </si>
  <si>
    <t>Fórceps infantil nº 16</t>
  </si>
  <si>
    <t xml:space="preserve">Fórceps infantil nº 16, fabricado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     </t>
  </si>
  <si>
    <t>105.                        </t>
  </si>
  <si>
    <t>Fórceps infantil nº 18L</t>
  </si>
  <si>
    <t xml:space="preserve">Fórceps infantil nº 18L, fabricado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     </t>
  </si>
  <si>
    <t>106.                        </t>
  </si>
  <si>
    <t>Fórceps infantil nº 18R</t>
  </si>
  <si>
    <t xml:space="preserve">Fórceps infantil nº 18R, fabricado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     </t>
  </si>
  <si>
    <t>107.                        </t>
  </si>
  <si>
    <t>Fórceps infantil nº 69</t>
  </si>
  <si>
    <t xml:space="preserve">Fórceps infantil nº 69, fabricado em aço inoxidável AISI-420, com ponta ativa adequada a sua função.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     </t>
  </si>
  <si>
    <t>108.                        </t>
  </si>
  <si>
    <t>Gaze</t>
  </si>
  <si>
    <t>Compressa de gaze hidrófila, 7,5 x 7,5 cm, descartável, estéril, 100 % algodão em tecido tipo tela, com 8 camadas, 13 fios por cm², inodora, insípida, alvejada, isenta de impurezas, amido, gordura, corante e com acabamento lateral para evitar o desfilamento. Apresentação: pacote com 500 unidades trazendo externamente dados de identificação, procedência, número do lote, validade e número de registro no Ministério da Saúde.</t>
  </si>
  <si>
    <t>109.                        </t>
  </si>
  <si>
    <t>Gorro sanfonado descartável</t>
  </si>
  <si>
    <t>Gorros descartáveis tipo touca com elástico sanfonado em todo o perímetro da touca, confeccionado em TNT 100% polipropileno de alta qualidade, ajustável para qualquer tamanho de cabeça (sanfonada), gramatura 20 g/m², cor branca. Apresentação: embalagem com 100 unidades trazendo externamente dados de identificação, procedência, número do lote e número de registro no Ministério da Saúde.</t>
  </si>
  <si>
    <t>110.                        </t>
  </si>
  <si>
    <t>Gorro com elástico</t>
  </si>
  <si>
    <t>Gorros tipo touca, com elástico na parte posterior da touca, confeccionado em TNT 100% polipropileno de alta qualidade, tamanho único, gramatura mínima 30 g/m², cor branca. Apresentação: embalagem com 10 unidades trazendo externamente dados de identificação, procedência, número do lote e número de registro no Ministério da Saúde.</t>
  </si>
  <si>
    <t>111.                        </t>
  </si>
  <si>
    <t>Grampo para isolamento absoluto nº 200</t>
  </si>
  <si>
    <t>Grampo para isolamento absoluto de uso odontológico nº 200 confeccionado em aço inoxidável conforme NBR 7153-1, com acabamento e polimento perfeitos, autoclavável, com tensão meticulosamente ajustada ao dente ao qual foi designado para ser usado. Apresentação: embalagem individual trazendo externamente os dados de identificação, procedência, número de lote e registro no Ministério da Saúde.</t>
  </si>
  <si>
    <t>112.                        </t>
  </si>
  <si>
    <t>Grampo para isolamento absoluto nº 202</t>
  </si>
  <si>
    <t>Grampo para isolamento absoluto de uso odontológico nº 202 confeccionado em aço inoxidável conforme NBR 7153-1, com acabamento e polimento perfeitos, autoclavável, com tensão meticulosamente ajustada ao dente ao qual foi designado para ser usado. Apresentação: embalagem individual trazendo externamente os dados de identificação, procedência, número de lote e registro no Ministério da Saúde.</t>
  </si>
  <si>
    <t>113.                        </t>
  </si>
  <si>
    <t>Grampo para isolamento absoluto nº 205</t>
  </si>
  <si>
    <t>Grampo para isolamento absoluto de uso odontológico nº 205 confeccionado em aço inoxidável conforme NBR 7153-1, com acabamento e polimento perfeitos, autoclavável, com tensão meticulosamente ajustada ao dente ao qual foi designado para ser usado. Apresentação: embalagem individual trazendo externamente os dados de identificação, procedência, número de lote e registro no Ministério da Saúde.</t>
  </si>
  <si>
    <t>114.                        </t>
  </si>
  <si>
    <t>Grampo para isolamento nº 26</t>
  </si>
  <si>
    <t>Grampo para isolamento absoluto de uso odontológico nº 26 confeccionado em aço inoxidável conforme NBR 7153-1, com acabamento e polimento perfeitos, autoclavável, com tensão meticulosamente ajustada ao dente ao qual foi designado para ser usado. Apresentação: embalagem individual trazendo externamente os dados de identificação, procedência, número de lote e registro no Ministério da Saúde.</t>
  </si>
  <si>
    <t>115.                        </t>
  </si>
  <si>
    <t>Grampo para isolamento absoluto nº W8A</t>
  </si>
  <si>
    <t>Grampo para isolamento absoluto de uso odontológico nº W8A confeccionado em aço inoxidável conforme NBR 7153-1, com acabamento e polimento perfeitos, autoclavável, com tensão meticulosamente ajustada ao dente ao qual foi designado para ser usado. Apresentação: embalagem individual trazendo externamente os dados de identificação, procedência, número de lote e registro no Ministério da Saúde.</t>
  </si>
  <si>
    <t>116.                        </t>
  </si>
  <si>
    <t xml:space="preserve">Hidróxido de cálcio P.A </t>
  </si>
  <si>
    <t>Hidróxido de Cálcio P.A. para uso como material curativo intracanal. Prazo de validade de no mínimo 20 meses a partir da data de entrega. Apresentação: Embalagem unitária com 10g trazendo externamente dados de identificação, procedência, número do lote, validade e número de registro no Ministério da Saúde.</t>
  </si>
  <si>
    <t>117.                        </t>
  </si>
  <si>
    <t>Hidróxido de cálcio Cimento</t>
  </si>
  <si>
    <t>Cimento de Hidróxido de cálcio para uso odontológico, radiopaco, quimicamente ativado, resistente à compressão de materiais restauradores, não deve interferir na coloração e polimerização das resinas e cimentos, biocompatível. Apresentação: Tubos contendo pasta base com aproximadamente 13 g e tubo contendo pasta catalizadora com 11 g e bloco de manipulação trazendo externamente dados de identificação, procedência, número do lote, validade e número de registro no Ministério da Saúde.</t>
  </si>
  <si>
    <t>118.                        </t>
  </si>
  <si>
    <t>Kit cirúrgico 10 peças</t>
  </si>
  <si>
    <t>Kit de campos e aventais para uso em cirurgias, contendo 02 aventais, 02 campos de mesa 0,70 X 0,70cm, 01 campo fenestrado 1,40 X 0,90 cm, 02 protetores de mangueira, 01 protetor de refletor, confeccionados em TNT gramatura 40, e 02 toalhas de mão. Estéreis, prazo de validade de no mínimo 02 anos contando a partir da data de entrega.  Apresentação: embalagem trazendo externamente dados de identificação, procedência, número de lote, validade e número de registro no Ministério da Saúde.</t>
  </si>
  <si>
    <t>119.                        </t>
  </si>
  <si>
    <t>Kit cirúrgico 04 peças</t>
  </si>
  <si>
    <t>Kit de campos para uso em pequenas cirurgias, contendo 01 campo de mesa 0,70 X 0,70cm e 01 campo fenestrado 1,40 X 0,90 cm, confeccionados em TNT gramatura 40 e 02 toalhas de mão. Estéreis, prazo de validade de no mínimo 02 anos contando a partir da data de entrega.  Apresentação: embalagem trazendo externamente dados de identificação, procedência, número de lote, validade e número de registro no Ministério da Saúde.</t>
  </si>
  <si>
    <t>120.                        </t>
  </si>
  <si>
    <t>Lâmina 15</t>
  </si>
  <si>
    <t>Lâmina bisturi, aço carbono, nº 15, descartável, estéril, reta, embalada individualmente. Apresentação: caixa contendo 100 unidades trazendo externamente dados de identificação, procedência, número do lote, validade e número de registro no Ministério da Saúde.</t>
  </si>
  <si>
    <t>121.                        </t>
  </si>
  <si>
    <t>Lâmina 15 C</t>
  </si>
  <si>
    <t>Lâmina bisturi, aço carbono, nº 15 C, descartável, estéril, embalada individualmente. Apresentação: caixa contendo 100 unidades trazendo externamente dados de identificação, procedência, número do lote, validade e número de registro no Ministério da Saúde.</t>
  </si>
  <si>
    <t>122.                        </t>
  </si>
  <si>
    <t>Lençol de borracha</t>
  </si>
  <si>
    <t>Lençol de borracha para isolamento em látex natural, pigmento orgânico na cor azul ou verde, medindo 13x13cm, com superfície lisa, livre de rebarbas e defeitos, resistente ao alongamento e a desinfecção química. Apresentação: caixa contendo 26 unidades trazendo externamente dados de identificação, procedência, número do lote, validade e número de registro no Ministério da Saúde.</t>
  </si>
  <si>
    <t>123.                        </t>
  </si>
  <si>
    <t>Lima tipo Flexofile #15 21 mm</t>
  </si>
  <si>
    <t>Lima tipo Flexofile com 21 mm, calibre 15, parte ativa com corte triangular, angulação de corte de 60º, confeccionada em aço inoxidável, sem sinais de oxidação, com cabo anatômico colorido segundo os padrões internacionais, esterilizável através de calor úmido ou seco sem sofrer oxidação. Apresentação: embalagem em caixas de 6 (seis) unidades, trazendo externamente os dados de identificação, procedência, número do lote e número de registro no Ministério da Saúde.</t>
  </si>
  <si>
    <t>124.                        </t>
  </si>
  <si>
    <t>Limas tipo Flexofile #15-40 31 mm</t>
  </si>
  <si>
    <t>Kits de Limas tipo Flexofile com 31 mm, calibres 15, 20, 25, 30, 35 e 40, parte ativa com corte triangular, angulação de corte de 60°, confeccionadas em aço inoxidável, sem sinais de oxidação, com cabo anatômico colorido segundo os padrões internacionais, esterilizáveis através de calor úmido ou seco sem sofrer oxidação. Apresentação: embalagem em caixas de 6 (seis) unidades, trazendo externamente os dados de identificação, procedência, número do lote e número de registro no Ministério da Saúde.</t>
  </si>
  <si>
    <t>125.                        </t>
  </si>
  <si>
    <t>Limas tipo K-file #15-40 21 mm em níquel-titânio</t>
  </si>
  <si>
    <t>Kit de Limas tipo K-file com 21 mm, calibres 15, 20, 25, 30, 35 e 40 e parte ativa com corte quadrangular, angulação de corte de 45°, confeccionadas em níquel-titânio, sem sinais de oxidação, com cabo anatômico colorido segundo os padrões internacionais, esterilizáveis através de calor úmido ou seco sem sofrer oxidação. Apresentação: embalagem em caixas de 6 (seis) unidades, trazendo externamente os dados de identificação, procedência, número do lote e número de registro no Ministério da Saúde.</t>
  </si>
  <si>
    <t>126.                        </t>
  </si>
  <si>
    <t>Limas tipo K-file #15-40 25 mm em níquel-titânio</t>
  </si>
  <si>
    <t>Kit de Limas tipo K-file com 25 mm, calibres 15, 20, 25, 30, 35 e 40 e parte ativa com corte quadrangular, angulação de corte de 45°, confeccionadas em níquel-titânio, sem sinais de oxidação, com cabo anatômico colorido segundo os padrões internacionais, esterilizáveis através de calor úmido ou seco sem sofrer oxidação. Apresentação: embalagem em caixas de 6 (seis) unidades, trazendo externamente os dados de identificação, procedência, número do lote e número de registro no Ministério da Saúde.</t>
  </si>
  <si>
    <t>127.                        </t>
  </si>
  <si>
    <t>Luva PP</t>
  </si>
  <si>
    <t>Caixa de luvas para procedimento odontológico, não estéril, em material nitrílico, dedos texturizadas, sem talco tamanho EXTRA-PEQUENO. Apresentação: caixa com 100 (cem) unidades de luvas trazendo externamente dados de identificação, procedência, número do lote, validade e número de registro no Ministério da Saúde.</t>
  </si>
  <si>
    <t>128.                        </t>
  </si>
  <si>
    <t>Luva P</t>
  </si>
  <si>
    <t>Caixa de luvas para procedimento odontológico, não estéril, em material nitrílico, dedos texturizadas, sem talco tamanho PEQUENO. Apresentação: caixa com 100 (cem) unidades de luvas trazendo externamente dados de identificação, procedência, número do lote, validade e número de registro no Ministério da Saúde.</t>
  </si>
  <si>
    <t>129.                        </t>
  </si>
  <si>
    <t>Luva M</t>
  </si>
  <si>
    <t>Caixa de luvas para procedimento odontológico, não estéril, em material nitrílico, dedos texturizados, sem talco, tamanho MÉDIO. Apresentação: caixa com 100 (cem) unidades de luvas trazendo externamente dados de identificação, procedência, número do lote, validade e número de registro no Ministério da Saúde.</t>
  </si>
  <si>
    <t>130.                        </t>
  </si>
  <si>
    <t>Luva G</t>
  </si>
  <si>
    <t>Caixa de luvas para procedimento odontológico, não estéril, em material nitrílico, dedos texturizados, tamanho  GRANDE. Apresentação: caixa com 100 (cem) unidades de luvas trazendo externamente dados de identificação, procedência, número do lote, validade e número de registro no Ministério da Saúde.</t>
  </si>
  <si>
    <t>131.                        </t>
  </si>
  <si>
    <t>Caixa de luvas para procedimento odontológico, não estéril, em látex, dedos texturizados, talcadas, tamanho EXTRA- PEQUENO. Apresentação: caixa com 100 (cem) unidades de luvas trazendo externamente dados de identificação, procedência, número do lote, validade e número de registro no Ministério da Saúde.</t>
  </si>
  <si>
    <t>132.                        </t>
  </si>
  <si>
    <t>Caixa de luvas para procedimento odontológico, não estéril, em látex, dedos texturizados, talcadas, tamanho PEQUENO. Apresentação: caixa com 100 (cem) unidades de luvas trazendo externamente dados de identificação, procedência, número do lote, validade e número de registro no Ministério da Saúde.</t>
  </si>
  <si>
    <t>133.                        </t>
  </si>
  <si>
    <t>Caixa de luvas para procedimento odontológico, não estéril, em látex, dedos texturizados, talcadas, tamanho MÉDIO. Apresentação: caixa com 100 (cem) unidades de luvas trazendo externamente dados de identificação, procedência, número do lote, validade e número de registro no Ministério da Saúde.</t>
  </si>
  <si>
    <t>134.                        </t>
  </si>
  <si>
    <t>Caixa de luvas para procedimento odontológico, não estéril, em látex, dedos texturizados, talcadas, tamanho GRANDE. Apresentação: caixa com 100 (cem) unidades de luvas trazendo externamente dados de identificação, procedência, número do lote, validade e número de registro no Ministério da Saúde.</t>
  </si>
  <si>
    <t>135.                        </t>
  </si>
  <si>
    <t>Luva cirúrgica nº 6,5</t>
  </si>
  <si>
    <t>Luvas de látex para procedimentos cirúrgicos, estéreis, confeccionadas em látex, dedos texturizados, talcadas, tamanho nº 6,5. Apresentação: embalagem contendo um (01) par de luvas trazendo externamente dados de identificação, procedência, número do lote, validade e número de registro no Ministério da Saúde.</t>
  </si>
  <si>
    <t>Un</t>
  </si>
  <si>
    <t>136.                        </t>
  </si>
  <si>
    <t>Luva cirúrgica nº 7,0</t>
  </si>
  <si>
    <t>Luvas de látex para procedimentos cirúrgicos, estéreis, confeccionadas em látex, dedos texturizados, talcadas, tamanho nº 7. Apresentação: embalagem contendo (01) par de luvas trazendo externamente dados de identificação, procedência, número do lote, validade e número de registro no Ministério da Saúde.</t>
  </si>
  <si>
    <t>137.                        </t>
  </si>
  <si>
    <t>Luva cirúrgica nº 7,5</t>
  </si>
  <si>
    <t>Luvas de látex para procedimentos cirúrgicos, estéreis, confeccionadas em látex, dedos texturizados, talcadas, tamanho nº 7,5. Apresentação: embalagem contendo 01 (um) par de luvas trazendo externamente dados de identificação, procedência, número do lote, validade e número de registro no Ministério da Saúde.</t>
  </si>
  <si>
    <t>138.                        </t>
  </si>
  <si>
    <t>Luva cirúrgica nº 8</t>
  </si>
  <si>
    <t>Luvas de látex para procedimentos cirúrgicos, estéreis, confeccionadas em látex, dedos texturizados, talcadas, tamanho nº 8. Apresentação: embalagem contendo 01 (um) par de luvas trazendo externamente dados de identificação, procedência, número do lote, validade e número de registro no Ministério da Saúde.</t>
  </si>
  <si>
    <t>139.                        </t>
  </si>
  <si>
    <t>Máscara tripla com elástico</t>
  </si>
  <si>
    <t>Máscara descartável, para uso odontológico, com elástico, com tripla camada, com filtro bacteriano hidrorrepelente BFE (Barreira de Filtragem Efetiva) de 98,8% de retenção bacteriana, com fixação através de elástico, na cor azul ou branca, atóxica, em polipropileno, não estéril, não inflamável e com clipe de fixação nasal ajustável. Apresentação: Embalagem contendo 50 unidades trazendo externamente dados de identificação, procedência, número do lote, validade e número de registro no Ministério da Saúde.</t>
  </si>
  <si>
    <t>140.                        </t>
  </si>
  <si>
    <t>Matriz 0,5 cm</t>
  </si>
  <si>
    <t xml:space="preserve">Fita matriz em aço inox para restauração odontológica com 0,5 centímetro de altura, com 50 centímetros de comprimento e 0,05 milímetros de espessura. Apresentação: bobina de fita matriz de aço com 0,05 mm X 5 mm X 50 cm, trazendo externamente dados de identificação e procedência, número do lote, número de registro no Ministério da Saúde. </t>
  </si>
  <si>
    <t>141.                        </t>
  </si>
  <si>
    <t>Matriz 0,7 cm</t>
  </si>
  <si>
    <t>Fita matriz em aço inox para restauração odontológica com 0,7 centímetros de altura, com 50 centímetros de comprimento e 0,05 milímetros de espessura. Apresentação: bobina de fita matriz de aço com 0,05 mm X 7 mm X 50 cm, trazendo externamente dados de identificação, procedência, número do lote, validade e número de registro no Ministério da Saúde.</t>
  </si>
  <si>
    <t>142.                        </t>
  </si>
  <si>
    <t>Moldeira tipo Vernes I2</t>
  </si>
  <si>
    <t>Moldeira lisa em aço inox, tipo Vernes nº I 2, indicada para reproduzir a arcada inferior de adultos, utilizando como material de moldagem alginatos ou outros materiais de impressão.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</si>
  <si>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143.                        </t>
  </si>
  <si>
    <t>Moldeira tipo Vernes S2</t>
  </si>
  <si>
    <t>Moldeira lisa em aço inox, tipo Vernes nº S 2 , indicada para reproduzir a arcada superior de adultos, utilizando como material de moldagem alginatos ou outros materiais de impressão. Polimento perfeito, livre de rebarbas e sinais de oxidação, e resistente aos métodos normalmente usados de desinfecção e esterilização. Apresentação: embalagem individual trazendo externamente os dados de identificação, procedência, número de lote e registro no Ministério da Saúde.</t>
  </si>
  <si>
    <t>144.                        </t>
  </si>
  <si>
    <t>Óleo Lubrificante para canetas</t>
  </si>
  <si>
    <t>Lubrificante para canetas de alta e baixa rotação. Composição: Óleo mineral dental atóxico de baixa viscosidade, Propelente Butano/Propano. Isento de CFC. Prazo de validade mínimo de 24 meses a contar da data de entrega. Apresentação: Embalagem metálica de 200 ml com aplicador trazendo externamente dados de identificação, procedência, número do lote, validade e número de registro no Ministério da Saúde.</t>
  </si>
  <si>
    <t>145.                        </t>
  </si>
  <si>
    <t>Óxido de zinco</t>
  </si>
  <si>
    <t>Óxido de zinco pó, 100% puro para uso odontológico em associação com Eugenol com granulometria fina e homogênea. Apresentação: frasco leitoso contendo 50g do pó trazendo externamente dados de identificação, procedência, número do lote, validade e número de registro no Ministério da Saúde.</t>
  </si>
  <si>
    <t>146.                        </t>
  </si>
  <si>
    <t>Papel Carbono</t>
  </si>
  <si>
    <t>Fita plástica para registro de oclusão, carbonada nas duas faces na cor preta e vermelha, resistente, com tiras medindo 25 mm de largura e 10 cm de comprimento e 0,02 mm de espessura, aproximadamente. Apresentação: Caixa contendo 280 tiras trazendo externamente dados de identificação, procedência, número do lote, validade e número de registro no Ministério da Saúde.</t>
  </si>
  <si>
    <t>147.                        </t>
  </si>
  <si>
    <t>Papel para autoclave 5 cm X 100 m</t>
  </si>
  <si>
    <t>Embalagem para esterilização em forma de rolo (bobina), em papel grau cirúrgico e filme laminado de poliéster com polipropileno com indicadores impressos nas laterais das embalagens que identificam o processo de esterilização em vapor, medindo 5 cm x 100 m. Apresentação: rolo de 100 m trazendo externamente dados de identificação, procedência, número do lote e número de registro no Ministério da Saúde.</t>
  </si>
  <si>
    <t>148.                        </t>
  </si>
  <si>
    <t>Papel para autoclave 8 cm X 100 m</t>
  </si>
  <si>
    <t>Embalagem para esterilização em forma de rolo (bobina), em papel grau cirúrgico e filme laminado de poliéster com polipropileno com indicadores impressos nas laterais das embalagens que identificam o processo de esterilização em vapor, medindo 8 cm x 100 m. Apresentação: rolo de 100 m trazendo externamente dados de identificação, procedência, número do lote, validade e número de registro no Ministério da Saúde.</t>
  </si>
  <si>
    <t>149.                        </t>
  </si>
  <si>
    <t>Papel para autoclave 12 cm X 100 m</t>
  </si>
  <si>
    <t>Embalagem para esterilização em forma de rolo (bobina), em papel grau cirúrgico e filme laminado de poliéster com polipropileno com indicadores impressos nas laterais das embalagens que identificam o processo de esterilização em vapor. Medindo aproximadamente 12 cm x 100 m. Apresentação: rolo de 50 m trazendo externamente dados de identificação, procedência, número do lote e número de registro no Ministério da Saúde.</t>
  </si>
  <si>
    <t>150.                        </t>
  </si>
  <si>
    <t>Papel para autoclave 20 cm X 100 m</t>
  </si>
  <si>
    <t>Embalagem para esterilização em forma de rolo (bobina), em papel grau cirúrgico e filme laminado de poliéster com polipropileno com indicadores impressos nas laterais das embalagens que identificam o processo de esterilização em vapor, medindo 20 cm x 100 m. Apresentação: rolo de 100 m trazendo externamente dados de identificação, procedência, número do lote e número de registro no Ministério da Saúde.</t>
  </si>
  <si>
    <t>151.                        </t>
  </si>
  <si>
    <t>Papel toalha</t>
  </si>
  <si>
    <t>Toalha de papel, tipo folha 2 dobras, gofrada, cor branca (100% branco), super-resistente, rápida absorção de líquido, de primeira qualidade (papel não reciclado). Apresentação: Pacote com 1250 folhas trazendo externamente dados de identificação, procedência, número do lote e número de registro no Ministério da Saúde.</t>
  </si>
  <si>
    <t>152.                        </t>
  </si>
  <si>
    <t>Pasta profilática</t>
  </si>
  <si>
    <t>Pasta profilática para uso odontológico, contendo pedra-pomes, fluoreto de sódio, carbonato de cálcio, lauril sulfato de sódio, excipientes ou materiais similares na sua composição. Apresentação: bisnagas com até 90g, trazendo externamente dados de identificação, procedência, número do lote, validade e número de registro no Ministério da Saúde.</t>
  </si>
  <si>
    <t>153.                        </t>
  </si>
  <si>
    <t>Pedra montada trimmer chama</t>
  </si>
  <si>
    <t>Pedra montada branca para peça de mão, indicada para acabamento de resina e gesso, ponta ativa com formato de chama, esterilizável em calor úmido. Apresentação: embalagem individual trazendo externamente os dados de identificação, procedência, número de lote e registro no Ministério da Saúde.</t>
  </si>
  <si>
    <t>154.                        </t>
  </si>
  <si>
    <t>Pedra montada trimmer tronco-cônica</t>
  </si>
  <si>
    <t>Pedra montada branca para peça de mão, indicada para acabamento de resina e gesso, ponta ativa com formato tronco-cônico, esterilizável em calor úmido. Apresentação: embalagem individual trazendo externamente os dados de identificação, procedência, número de lote e registro no Ministério da Saúde.</t>
  </si>
  <si>
    <t>155.                        </t>
  </si>
  <si>
    <t>Pedra montada trimmer ogival</t>
  </si>
  <si>
    <t>Pedra montada branca para peça de mão, indicada para acabamento de resina e gesso, ponta ativa com formato ogival, esterilizável em calor úmido. Apresentação: embalagem individual trazendo externamente os dados de identificação, procedência, número de lote e registro no Ministério da Saúde.</t>
  </si>
  <si>
    <t>156.                        </t>
  </si>
  <si>
    <t>Pinça clínica odontológica</t>
  </si>
  <si>
    <t>Pinça clínica odontológica confeccionada em aço inoxidável, tipo AISI 429, com corpo ranhurado, adequada para prender materiais durante o atendimento odontológico. Deve apresentar polimento perfeito, livre de rebarbas e sinais de oxidação e deve ser resistente aos métodos normalmente usados de desinfecção e esterilização. Apresentação: embalagem individual trazendo externamente os dados de identificação, procedência, número de lote e registro no Ministério da Saúde.</t>
  </si>
  <si>
    <t>157.                        </t>
  </si>
  <si>
    <t xml:space="preserve">Pinça porta-grampo Palmer </t>
  </si>
  <si>
    <t>Pinça tipo Palmer, indicada para conduzir e abrir o grampo de isolamento absoluto, confeccionada em aço inoxidável, tipo AISI 429. Deve apresentar polimento perfeito, livre de rebarbas e sinais de oxidação e deve ser resistente aos métodos normalmente usados de desinfecção e esterilização. Apresentação: embalagem individual trazendo externamente os dados de identificação, procedência, número de lote e registro no Ministério da Saúde.</t>
  </si>
  <si>
    <t>158.                        </t>
  </si>
  <si>
    <t>Placa de vidro 10 mm</t>
  </si>
  <si>
    <t>Placa de vidro para espatulação de materiais, em vidro liso/polido, medindo 15 cm X 07 cm X 10 mm, autoclavável. Apresentação: embalagem individual trazendo externamente os dados de identificação, procedência, número de lote e registro no Ministério da Saúde.</t>
  </si>
  <si>
    <t>159.                        </t>
  </si>
  <si>
    <t>Ponta diamantada nº 1011</t>
  </si>
  <si>
    <t>Ponta nº 1011, diamantada, esférica,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</si>
  <si>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160.                        </t>
  </si>
  <si>
    <t>Ponta diamantada nº 1012</t>
  </si>
  <si>
    <t>Ponta nº 1012, diamantada, esférica,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</si>
  <si>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161.                        </t>
  </si>
  <si>
    <t>Ponta diamantada nº 1013</t>
  </si>
  <si>
    <t>Ponta nº 1013, diamantada, esférica,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</si>
  <si>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162.                        </t>
  </si>
  <si>
    <t>Ponta diamantada nº 1014</t>
  </si>
  <si>
    <t>Ponta nº 1014, diamantada, esférica,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</si>
  <si>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163.                        </t>
  </si>
  <si>
    <t>Ponta diamantada nº 1014 HL</t>
  </si>
  <si>
    <t>Ponta nº 1014 HL, diamantada, esférica, haste longa,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</si>
  <si>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164.                        </t>
  </si>
  <si>
    <t xml:space="preserve">Ponta diamantada nº 1016 </t>
  </si>
  <si>
    <t>Ponta nº 1016, diamantada, esférica,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</si>
  <si>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165.                        </t>
  </si>
  <si>
    <t>Ponta diamantada nº 1016 HL</t>
  </si>
  <si>
    <t>Ponta nº 1016 HL, diamantada, esférica, haste longa,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</si>
  <si>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166.                        </t>
  </si>
  <si>
    <t>Ponta diamantada nº 1019</t>
  </si>
  <si>
    <t>Ponta nº 1019, diamantada, esférica,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</si>
  <si>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167.                        </t>
  </si>
  <si>
    <t>Ponta diamantada nº 1090</t>
  </si>
  <si>
    <t>Ponta nº 1090, diamantada, cilíndrica com topo plano, com granulação uniforme e haste em aço inoxidável adaptável a todos os sistemas de alta rotação autoclavável. Apresentação: embalagem individual trazendo externamente os dados de identificação, procedência, número de lote, validade e registro no Ministério da Saúde.</t>
  </si>
  <si>
    <t>168.                        </t>
  </si>
  <si>
    <t>Ponta diamantada nº 1091</t>
  </si>
  <si>
    <t>Ponta nº 1091, diamantada, cilíndrica com topo plano, com granulação uniforme e haste em aço inoxidável adaptável a todos os sistemas de alta rotação autoclavável. Apresentação: embalagem individual trazendo externamente os dados de identificação, procedência, número de lote, validade e registro no Ministério da Saúde.</t>
  </si>
  <si>
    <t>169.                        </t>
  </si>
  <si>
    <t>Ponta diamantada nº 1092</t>
  </si>
  <si>
    <t>Ponta nº 1092, diamantada, cilíndrica com topo plano, com granulação uniforme e haste em aço inoxidável adaptável a todos os sistemas de alta rotação autoclavável. Apresentação: embalagem individual trazendo externamente os dados de identificação, procedência, número de lote, validade e registro no Ministério da Saúde.</t>
  </si>
  <si>
    <t>170.                        </t>
  </si>
  <si>
    <t>Ponta diamantada nº 1094</t>
  </si>
  <si>
    <t>Ponta nº 1094, diamantada, cilíndrica com topo plano, com granulação uniforme e haste em aço inoxidável adaptável a todos os sistemas de alta rotação, autoclavável. Apresentação: embalagem individual trazendo externamente os dados de identificação, procedência, número de lote, validade e registro no Ministério da Saúde.</t>
  </si>
  <si>
    <t>171.                        </t>
  </si>
  <si>
    <t>Ponta diamantada nº 1111</t>
  </si>
  <si>
    <t>Ponta nº 1111, diamantada, com granulação 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</si>
  <si>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172.                        </t>
  </si>
  <si>
    <t>Ponta diamantada nº 1111F</t>
  </si>
  <si>
    <t>Ponta nº 1111F, diamantada, com granulação 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</si>
  <si>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173.                        </t>
  </si>
  <si>
    <t>Ponta diamantada nº 1111FF</t>
  </si>
  <si>
    <t>Ponta nº 1111FF, diamantada, com granulação ultrafina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</si>
  <si>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174.                        </t>
  </si>
  <si>
    <t>Ponta diamantada nº 1190F</t>
  </si>
  <si>
    <t>Ponta nº 1190F, diamantada, com granulação 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</si>
  <si>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175.                        </t>
  </si>
  <si>
    <t>Ponta diamantada nº 1190FF</t>
  </si>
  <si>
    <t>Ponta nº 1190FF, diamantada, com granulação ultrafina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</si>
  <si>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176.                        </t>
  </si>
  <si>
    <t>Ponta diamantada nº 2067</t>
  </si>
  <si>
    <t>Ponta nº 2067, diamantada,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</si>
  <si>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177.                        </t>
  </si>
  <si>
    <t>Ponta diamantada nº 2135</t>
  </si>
  <si>
    <t>Ponta nº 2135, diamantada,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</si>
  <si>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178.                        </t>
  </si>
  <si>
    <t>Ponta diamantada nº 3080</t>
  </si>
  <si>
    <t>Ponta nº 3080, diamantada,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</si>
  <si>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179.                        </t>
  </si>
  <si>
    <t>Ponta diamantada nº 3081</t>
  </si>
  <si>
    <t>Ponta nº 3081, diamantada,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</si>
  <si>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180.                        </t>
  </si>
  <si>
    <t>Ponta diamantada nº 3113</t>
  </si>
  <si>
    <t>Ponta nº 3113, diamantada,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</si>
  <si>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181.                        </t>
  </si>
  <si>
    <t>Ponta diamantada nº 3113F</t>
  </si>
  <si>
    <t>Ponta nº 3113F, diamantada, com granulação 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</si>
  <si>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182.                        </t>
  </si>
  <si>
    <t>Ponta diamantada nº 3113FF</t>
  </si>
  <si>
    <t>Ponta nº 311FF, diamantada, com granulação ultrafina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</si>
  <si>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183.                        </t>
  </si>
  <si>
    <t>Ponta diamantada nº 3118</t>
  </si>
  <si>
    <t>Ponta nº 3118, diamantada,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</si>
  <si>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184.                        </t>
  </si>
  <si>
    <t>Ponta diamantada nº 3118F</t>
  </si>
  <si>
    <t>Ponta nº 3118F, diamantada, com granulação 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</si>
  <si>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185.                        </t>
  </si>
  <si>
    <t>Ponta diamantada nº 3118FF</t>
  </si>
  <si>
    <t>Ponta nº 3118FF, diamantada, com granulação ultrafina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</si>
  <si>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186.                        </t>
  </si>
  <si>
    <t>Ponta diamantada nº 3168</t>
  </si>
  <si>
    <t>Ponta nº 3168, diamantada,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</si>
  <si>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187.                        </t>
  </si>
  <si>
    <t>Ponta diamantada nº 3168F</t>
  </si>
  <si>
    <t>Ponta nº 3168F, diamantada, com granulação 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</si>
  <si>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188.                        </t>
  </si>
  <si>
    <t>Ponta diamantada nº 3168 FF</t>
  </si>
  <si>
    <t>Ponta nº 3168FF, diamantada, com granulação ultrafina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</si>
  <si>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189.                        </t>
  </si>
  <si>
    <t>Ponta diamantada nº 3195</t>
  </si>
  <si>
    <t>Ponta nº 3195, diamantada, com granulação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</si>
  <si>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190.                        </t>
  </si>
  <si>
    <t>Ponta diamantada nº 3195F</t>
  </si>
  <si>
    <t>Ponta nº 3195F, diamantada, com granulação uniforme 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</si>
  <si>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191.                        </t>
  </si>
  <si>
    <t>Ponta diamantada nº 3195FF</t>
  </si>
  <si>
    <t>Ponta nº 3195FF, diamantada, com granulação ultrafina e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</si>
  <si>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192.                        </t>
  </si>
  <si>
    <t>Ponta diamantada nº 3203</t>
  </si>
  <si>
    <t>Ponta nº 3203, diamantada, com granulação uniforme, haste em aço inoxidável adaptável a todos os sistemas de alta rotação, sem rebarbas e sinais de oxidação, autoclavável. Apresentação: embalagem individual trazendo externamente os dados de identificação, procedência, número de lote, validade e registro no Ministério da Saúde.</t>
  </si>
  <si>
    <t>193.                        </t>
  </si>
  <si>
    <t>Pontas de silicone para polimento de resina</t>
  </si>
  <si>
    <t>Kit de pontas de silicone para acabamento de restaurações de resina composta, de granulação fina, para uso em contra-ângulo. Apresentação: embalagem com 08 (oito) pontas sortidas, trazendo externamente os dados de identificação, procedência, número de lote e registro no Ministério da Saúde.</t>
  </si>
  <si>
    <t>194.                        </t>
  </si>
  <si>
    <t xml:space="preserve">Porta-agulha 14 cm com widia </t>
  </si>
  <si>
    <t>Porta-agulha Mayo-Hegar com 14 cm de comprimento, para uso em cirurgia bucomaxilofacial, fabricado em aço inoxidável AISI-420, com pontas ativas revestidas de widia. Deve ter polimento perfeito, livre de rebarbas e sinais de oxidação, e ser resistente aos métodos normalmente usados de desinfecção e esterilização. Apresentação: embalagem individual trazendo externamente os dados de identificação, procedência, número de lote e registro no Ministério da Saúde.</t>
  </si>
  <si>
    <t>195.                        </t>
  </si>
  <si>
    <t>Régua milimetrada</t>
  </si>
  <si>
    <t>Régua em metal para medição de limas e cones endodônticos, milimetrada de maneira precisa e permanente. Deve apresentar polimento perfeito livre de rebarbas e sinais de oxidação e ser resistente aos métodos normalmente usados de desinfecção e esterilização. Apresentação: embalagem individual trazendo externamente os dados de identificação, procedência, número de lote e registro no Ministério da Saúde.</t>
  </si>
  <si>
    <t>196.                        </t>
  </si>
  <si>
    <t>Resina Composta cor A1B (Body)</t>
  </si>
  <si>
    <t xml:space="preserve">Resina Composta fotoativada cor A1B (Body) com nanopartículas, matriz orgânica a base de BIS-GMA e UDMA, TEGDMA, e bis-EMA(6), TEGDMA e compostos inorgânicos com combinação de partículas de sílica com 20nm e Zircônia com 4-11 nm não aglomeradas com lisura, brilho e translucidez idênticos aos tecidos dentais, resistente ao fluídos bocais e radiopaca. Prazo de validade de no mínimo 24 meses a partir da data de entrega. Apresentação: Seringa de 4 g trazendo exatamente os dados de identificação, procedência, validade, número de lote e registro no Ministério da Saúde. </t>
  </si>
  <si>
    <t>197.                        </t>
  </si>
  <si>
    <t>Resina Composta cor A2B (Body)</t>
  </si>
  <si>
    <t>Resina Composta fotoativada corA2B (Body) com nanopartículas, matriz orgânica a base de BIS-GMA e UDMA, TEGDMA, e bis-EMA(6), TEGDMA e compostos inorgânicos com combinação de partículas de sílica com 20nm e Zircônia com 4-11 nm não aglomeradas com lisura, brilho e translucidez idênticos aos tecidos dentais, resistente ao fluídos bocais e radiopaca. Prazo de validade de no mínimo 24 meses a partir da data de entrega. Apresentação: Seringa de 4 g trazendo exatamente os dados de identificação, procedência, validade, número de lote e registro no Ministério da Saúde.</t>
  </si>
  <si>
    <t>198.                        </t>
  </si>
  <si>
    <t>Resina Composta cor A3B (Body)</t>
  </si>
  <si>
    <t>Resina Composta fotoativada cor A3B (Body) com nanopartículas, matriz orgânica a base de BIS-GMA e UDMA, TEGDMA, e bis-EMA(6), TEGDMA e compostos inorgânicos com combinação de partículas de sílica com 20nm e Zircônia com 4-11 nm não aglomeradas com lisura, brilho e translucidez idênticos aos tecidos dentais, resistente ao fluídos bocais e radiopaca. Prazo de validade de no mínimo 24 meses a partir da data de entrega. Apresentação: Seringa de 4 g trazendo exatamente os dados de identificação, procedência, validade, número de lote e registro no Ministério da Saúde.</t>
  </si>
  <si>
    <t>199.                        </t>
  </si>
  <si>
    <t>Resina Composta cor A3,5B (Body)</t>
  </si>
  <si>
    <t>Resina Composta fotoativada cor A3,5B (Body) com nanopartículas, matriz orgânica a base de BIS-GMA e UDMA, TEGDMA, e bis-EMA(6), TEGDMA e compostos inorgânicos com combinação de partículas de sílica com 20nm e Zircônia com 4-11 nm não aglomeradas com lisura, brilho e translucidez idênticos aos tecidos dentais, resistente ao fluídos bocais e radiopaca. Prazo de validade de no mínimo 24 meses a partir da data de entrega. Apresentação: Seringa de 4 g trazendo exatamente os dados de identificação, procedência, validade, número de lote e registro no Ministério da Saúde.</t>
  </si>
  <si>
    <t>200.                        </t>
  </si>
  <si>
    <t>Resina Composta cor A4B (Body)</t>
  </si>
  <si>
    <t>Resina Composta fotoativada cor A4B (Body) com nanopartículas, matriz orgânica a base de BIS-GMA e UDMA, TEGDMA, e bis-EMA(6), TEGDMA e compostos inorgânicos com combinação de partículas de sílica com 20nm e Zircônia com 4-11 nm não aglomeradas com lisura, brilho e translucidez idênticos aos tecidos dentais, resistente ao fluídos bocais e radiopaca. Prazo de validade de no mínimo 24 meses a partir da data de entrega. Apresentação: Seringa de 4 g trazendo exatamente os dados de identificação, procedência, validade, número de lote e registro no Ministério da Saúde.</t>
  </si>
  <si>
    <t>201.                        </t>
  </si>
  <si>
    <t>Resina Composta cor B2B (Body)</t>
  </si>
  <si>
    <t>Resina Composta fotoativada cor B2B (Body) com nanopartículas, matriz orgânica a base de BIS-GMA e UDMA, TEGDMA, e bis-EMA(6), TEGDMA e compostos inorgânicos com combinação de partículas de sílica com 20nm e Zircônia com 4-11 nm não aglomeradas com lisura, brilho e translucidez idênticos aos tecidos dentais, resistente ao fluídos bocais e radiopaca. Prazo de validade de no mínimo 24 meses a partir da data de entrega. Apresentação: Seringa de 4 g trazendo exatamente os dados de identificação, procedência, validade, número de lote e registro no Ministério da Saúde.</t>
  </si>
  <si>
    <t>202.                        </t>
  </si>
  <si>
    <t>Restaurador Provisório</t>
  </si>
  <si>
    <t>Pasta de uso odontológico, para restauração provisória, de endurecimento rápido, pronta para uso. Apresentação: frasco com 25 gramas trazendo externamente dados de identificação, procedência, número do lote, validade e número de registro no Ministério da Saúde.</t>
  </si>
  <si>
    <t>203.                        </t>
  </si>
  <si>
    <t>Revelador radiográfico</t>
  </si>
  <si>
    <t>Solução reveladora para radiografia odontológica, pronta para uso manual, contendo água (85-90%), hidroquinona (1-5%), sulfeto de sódio (1-5%), dietilenoglicol (1-5%). Apresentação: Frasco com 475 ml, trazendo externamente dados de identificação, procedência, número do lote, validade e número de registro no Ministério da Saúde. O produto deve seguir a NR-32.</t>
  </si>
  <si>
    <t>204.                        </t>
  </si>
  <si>
    <t>Revelador de Placa</t>
  </si>
  <si>
    <t>Solução evidenciadora de placa bacteriana composta por fucsina a 0,6%, atóxica e de fácil remoção. Prazo de validade de no mínimo 18 meses a partir da data de entrega. Apresentação: Frasco contendo 500 ml da solução trazendo externamente dados de identificação, procedência, número do lote, validade e número de registro no Ministério da Saúde.</t>
  </si>
  <si>
    <t>205.                        </t>
  </si>
  <si>
    <t>Sabonete líquido</t>
  </si>
  <si>
    <t>Sabonete líquido, aspecto físico viscoso, com fragrância de coco ou erva-doce. Aplicação: para higienização da pele. Apresentação: Frasco de 1 litro trazendo externamente dados de identificação, procedência, número do lote, validade e número de registro no Ministério da Saúde.</t>
  </si>
  <si>
    <t>206.                        </t>
  </si>
  <si>
    <t>Selantes para fóssulas e fissuras</t>
  </si>
  <si>
    <t>Conjunto de reagentes para selagem capaz de escoar pelas fóssulas e fissuras dentais e permitir prevenção de cárie dentária, fotopolimerizável, com flúor e matizado. Apresentação: embalagem contendo 05 seringas de selante com 2g cada, seringa de condicionador dental em gel com 3ml e 20 pontas aplicadoras descartáveis trazendo externamente os dados de identificação, procedência, número de lote, validade e registro no Ministério da Saúde.</t>
  </si>
  <si>
    <t>207.                        </t>
  </si>
  <si>
    <t>Seringa descartável 5 ml</t>
  </si>
  <si>
    <t>Seringa de polipropileno transparente (plástico), capacidade 5 ml, êmbolo com ponta de borracha siliconizada com graduação firme e perfeitamente legível, tipo uso descartável, estéril em embalagem unitária. Validade mínima de 4 anos a contar da data de entrega do produto. Apresentação: embalagem contendo 1 seringa trazendo externamente dados de identificação, procedência, número do lote, validade e número de registro no Ministério da Saúde.</t>
  </si>
  <si>
    <t>208.                        </t>
  </si>
  <si>
    <t>Seringa descartável 10 ml</t>
  </si>
  <si>
    <t>Seringa de polipropileno transparente (plástico), capacidade 10 ml, êmbolo com ponta de borracha siliconizada com graduação firme e perfeitamente legível, tipo uso descartável, estéril em embalagem unitária. Validade mínima de 4 anos a contar da data de entrega do produto. Apresentação: embalagem contendo 1 seringa trazendo externamente dados de identificação, procedência, número do lote, validade e número de registro no Ministério da Saúde.</t>
  </si>
  <si>
    <t>209.                        </t>
  </si>
  <si>
    <t>Seringa descartável 20 ml</t>
  </si>
  <si>
    <t>Seringa de polipropileno transparente (plástico), capacidade 20 ml, êmbolo com ponta de borracha siliconizada com graduação firme e perfeitamente legível, tipo uso descartável, Estéril em embalagem unitária. Validade mínima de 4 anos a contar da data de entrega do produto. Apresentação: embalagem contendo 1 seringa trazendo externamente dados de identificação, procedência, número do lote, validade e número de registro no Ministério da Saúde.</t>
  </si>
  <si>
    <t>210.                        </t>
  </si>
  <si>
    <t>Solução bucal à base de Gluconato de Clorexidina a 0,12%</t>
  </si>
  <si>
    <t>Solução enxaguatória bucal à base de Gluconato de Clorexidina a 0,12% com composição aromática sabor menta ou hortelã. Prazo de validade mínimo de     meses. Apresentação: embalagem plástica com bico dosador, com no mínimo 1000 mL e no máximo 1100mL, trazendo externamente dados de identificação, procedência, número do lote, validade e número de registro no Ministério da Saúde.</t>
  </si>
  <si>
    <t>211.                        </t>
  </si>
  <si>
    <t>Solução de Gluconato de Clorexidina a 2%</t>
  </si>
  <si>
    <t>Solução aquosa à base de Gluconato de Clorexidina a 2% para antissepsia extra-bucal. Prazo de validade mínimo de 20 meses a partir da data de entrega. Apresentação: almotolia plástica com 100 mL, trazendo externamente dados de identificação, procedência, número do lote, validade e número de registro no Ministério da Saúde.</t>
  </si>
  <si>
    <t>212.                        </t>
  </si>
  <si>
    <t>Sonda exploradora nº 5</t>
  </si>
  <si>
    <t>Sonda exploradora nº 5 confeccionada em aço inoxidável tipo AISI 420, com corpo ranhurado e oitavado e ponta ativa adequada a sua função. Deve apresentar polimento perfeito livre de rebarbas e sinais de oxidação e deve ser resistente aos métodos normalmente usados de desinfecção e esterilização. Apresentação: embalagem individual trazendo externamente os dados de identificação, procedência, número de lote e registro no Ministério da Saúde.</t>
  </si>
  <si>
    <t>213.                        </t>
  </si>
  <si>
    <t>Soro fisiológico 0,9% injetável endovenoso</t>
  </si>
  <si>
    <t>Soro fisiológico estéril composto por cloreto de sódio a 0,9% solução injetável. Apresentação: embalagem contendo 100 ml de solução trazendo externamente dados de identificação, procedência, número do lote, validade e número de registro no Ministério da Saúde.</t>
  </si>
  <si>
    <t>214.                        </t>
  </si>
  <si>
    <t>Spray Refrigerante</t>
  </si>
  <si>
    <t>Spray refrigerante utilizado para teste de vitalidade pulpar na temperatura de -50ºC. O gás refrigerantenão deve ser nocivo à camada atmosférica (sem CFC), não irritante, nem inflamável, atóxico, incolor e não explosivo. Apresentação: frasco com 200 ml de gás, ponta de aplicação ajustável ao bico do frasco do gás trazendo externamente os dados de identificação, procedência, número de lote, validade e registro no Ministério da Saúde.</t>
  </si>
  <si>
    <t>215.                        </t>
  </si>
  <si>
    <t>Suctor endodôntico</t>
  </si>
  <si>
    <t>Conjunto de aspiração endodôntica intermediário para aspiração do canal, em aço inox, com encaixe Lüer e três cânulas de aspiração. Deve apresentar polimento perfeito livre de rebarbas e sinais de oxidação e deve ser resistente aos métodos normalmente usados de desinfecção e esterilização. Apresentação: embalagem individual trazendo externamente os dados de identificação, procedência, número de lote e registro no Ministério da Saúde.</t>
  </si>
  <si>
    <t>216.                        </t>
  </si>
  <si>
    <t>Sugador descartável</t>
  </si>
  <si>
    <t>Sugador descartável de material plástico, atóxico, flexível com ponta macia, acabamento perfeito, isento de rebarbas ou quinas cortantes. Apresentação: embalagem com 40 unidades trazendo externamente dados de identificação, procedência, número do lote, validade e número de registro no Ministério da Saúde.</t>
  </si>
  <si>
    <t>217.                        </t>
  </si>
  <si>
    <t>Sugador Cirúrgico</t>
  </si>
  <si>
    <t>Sugador Cirúrgico descartável material plástico, atóxico, esterilizado e embalado individualmente, acabamento perfeito, isento de rebarbas ou quinas cortantes. Apresentação: Caixa com 40 unidades trazendo externamente os dados de identificação, procedência, validade, numero de lote e numero de registro no Ministério da Saúde.</t>
  </si>
  <si>
    <t>218.                        </t>
  </si>
  <si>
    <t>Suspensão Otológica Otosporin</t>
  </si>
  <si>
    <t>Solução otológica onde cada ml contém sulfato de polimixina B 10.000U.I., sulfato de neomicina 5 mg, hidrocortisona 10 mg. Apresentação: frasco branco leitoso contendo 10 ml de solução trazendo externamente dados de identificação, procedência, número do lote, validade e número de registro no Ministério da Saúde.</t>
  </si>
  <si>
    <t>219.                        </t>
  </si>
  <si>
    <t>Tentacânula</t>
  </si>
  <si>
    <t>Tentacânula - instrumento utilizado para guiar a ponta do bisturi, confeccionada em aço inoxidável tipo AISI 420, livre de rebarbas e sinais de oxidação, resistente aos métodos normalmente usados para desinfecção e esterilização. Apresentação: embalagem individual trazendo externamente os dados de identificação, procedência, número de lote e registro no Ministério da Saúde.</t>
  </si>
  <si>
    <t>220.                        </t>
  </si>
  <si>
    <t>Tesoura Iris curva 12 cm</t>
  </si>
  <si>
    <t>Tesoura cirúrgica tipo Iris, confeccionada em aço inoxidável tipo AISI 420, com ponta ativa curva, faces alinhadas, medindo aproximadamente 12 cm, polida, livre de rebarbas e sinais de oxidação. Resistente aos métodos normalmente usados para desinfecção e esterilização. Apresentação: embalagem individual trazendo externamente os dados de identificação, procedência, número de lote e registro no Ministério da Saúde.</t>
  </si>
  <si>
    <t>221.                        </t>
  </si>
  <si>
    <t>Tesoura Iris reta 12 cm</t>
  </si>
  <si>
    <t>Tesoura cirúrgica tipo Iris, confeccionada em aço inoxidável tipo AISI 420, com ponta ativa reta, faces alinhadas, medindo aproximadamente 12 cm. Polida, livre de rebarbas e sinais de oxidação. Resistente aos métodos normalmente usados para desinfecção e esterilização. Apresentação: embalagem individual trazendo externamente os dados de identificação, procedência, número de lote e registro no Ministério da Saúde.</t>
  </si>
  <si>
    <t>222.                        </t>
  </si>
  <si>
    <t>Tira de Lixa metálica</t>
  </si>
  <si>
    <t>Tiras de aço, diamantadas, para uso odontológico, sem rebarbas, resistente, com granulometria fina medindo aproximadamente 4 mm de largura por 12 cm de comprimento. Apresentação: envelope de papel contendo 12 tiras de lixa trazendo externamente dados de identificação, procedência, número do lote e número de registro no Ministério da Saúde.</t>
  </si>
  <si>
    <t>223.                        </t>
  </si>
  <si>
    <t>Tira de Lixa para Resina</t>
  </si>
  <si>
    <t>Tira de lixa para acabamento de resinas composta por abrasivos de granulação média e fina, a base de óxido de alumínio e cortado de poliéster, separadas por campo neutro, com resistência compatível ao uso, atóxica, inodora e insípida, medido aproximadamente 15 mm de comprimento por 4 mm de largura. Apresentação: caixa contendo 50 lixas trazendo externamente dados de identificação, procedência, número do lote, validade e número de registro no Ministério da Saúde.</t>
  </si>
  <si>
    <t>224.                        </t>
  </si>
  <si>
    <t>Tira Matriz de poliéster</t>
  </si>
  <si>
    <t>Tira de poliéster para uso odontológico, composto por poliéster liso, transparente, não aderente as resinas, com aproximadamente 10 mm de largura por 120 mm de comprimento e 0,5 mm de espessura. Apresentação: envelopes de papel contendo 50 tiras trazendo externamente dados de identificação, procedência, número do lote e número de registro no Ministério da Saúde.</t>
  </si>
  <si>
    <t>225.                        </t>
  </si>
  <si>
    <t>Tricresol Formalina</t>
  </si>
  <si>
    <t>Tricresol formalina, material para desinfecção de canal radicular. Prazo de validade de no mínimo 20 meses a partir da data de entrega. Apresentação: Frasco gotejador de 10 ml trazendo externamente dados de identificação, procedência, número do lote, validade e número de registro no Ministério da Saúde.</t>
  </si>
  <si>
    <t>226.                        </t>
  </si>
  <si>
    <t>Vaselina líquida</t>
  </si>
  <si>
    <t>Lubrificante vaselina líquida, grau farmacêutico, 100% indicado como emoliente. Composição: Parafina, Óleo Mineral. Apresentação: Almotolia com 100 mL,                               trazendo externamente dados de identificação, procedência, número do lote, validade e número de registro no Ministério da Saúde.</t>
  </si>
  <si>
    <t>227.                        </t>
  </si>
  <si>
    <t>Vaselina pasta</t>
  </si>
  <si>
    <t>Lubrificante pastoso vaselina sólida em forma de pomada, grau farmacêutico, 100% indicado como emoliente. Composição: Parafina, Óleo Mineral. Apresentação: pote com no mínimo 90 gramas e no máximo 100 gramas trazendo externamente dados de identificação, procedência, número do lote, validade e número de registro no Ministério da Saúde.</t>
  </si>
  <si>
    <t>228.                        </t>
  </si>
  <si>
    <t>Verniz fluoretado</t>
  </si>
  <si>
    <t>Verniz com 5% de fluoreto de sódio indicado para fluoretação do esmalte dentário, profilaxia da cárie dental e dessensibilização do colo dental, secagem rápida, boa aderência ao dente. Prazo de validade de no mínimo 20 meses a partir da data de entrega  Apresentação: embalagem com 10 mL de verniz mais embalagem com 10 mL de solvente, trazendo externamente dados de identificação, procedência, número do lote, validade e número de registro no Ministério da Saúde.</t>
  </si>
  <si>
    <t>72.</t>
  </si>
  <si>
    <t>Valor Total</t>
  </si>
  <si>
    <t>unid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</si>
</sst>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quot;R$&quot;\ #,##0.00"/>
  </numFmts>
  <fonts count="4" x14ac:knownFonts="1">
    <font>
      <sz val="11"/>
      <color theme="1"/>
      <name val="Calibri"/>
      <family val="2"/>
      <scheme val="minor"/>
    </font>
    <font>
      <b/>
      <sz val="11"/>
      <color theme="0"/>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A5A5A5"/>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top style="double">
        <color rgb="FF3F3F3F"/>
      </top>
      <bottom style="double">
        <color rgb="FF3F3F3F"/>
      </bottom>
      <diagonal/>
    </border>
    <border>
      <left style="thin">
        <color indexed="64"/>
      </left>
      <right/>
      <top style="thin">
        <color indexed="64"/>
      </top>
      <bottom style="thin">
        <color indexed="64"/>
      </bottom>
      <diagonal/>
    </border>
  </borders>
  <cellStyleXfs count="3">
    <xf numFmtId="0" fontId="0" fillId="0" borderId="0"/>
    <xf numFmtId="0" fontId="1" fillId="2" borderId="1" applyNumberFormat="0" applyAlignment="0" applyProtection="0"/>
    <xf numFmtId="44" fontId="2" fillId="0" borderId="0" applyFont="0" applyFill="0" applyBorder="0" applyAlignment="0" applyProtection="0"/>
  </cellStyleXfs>
  <cellXfs count="16">
    <xf numFmtId="0" fontId="0" fillId="0" borderId="0" xfId="0"/>
    <xf numFmtId="0" fontId="0" fillId="0" borderId="2" xfId="0" applyBorder="1"/>
    <xf numFmtId="0" fontId="0" fillId="0" borderId="2" xfId="0" applyBorder="1" applyAlignment="1">
      <alignment horizontal="center"/>
    </xf>
    <xf numFmtId="0" fontId="1" fillId="2" borderId="1" xfId="1"/>
    <xf numFmtId="0" fontId="0" fillId="0" borderId="2" xfId="0" applyBorder="1" applyAlignment="1">
      <alignment horizontal="center" wrapText="1"/>
    </xf>
    <xf numFmtId="0" fontId="0" fillId="0" borderId="2" xfId="0" applyBorder="1" applyAlignment="1">
      <alignment horizontal="center" vertical="center" wrapText="1"/>
    </xf>
    <xf numFmtId="164" fontId="0" fillId="0" borderId="2" xfId="0" applyNumberFormat="1" applyBorder="1" applyAlignment="1">
      <alignment horizontal="center"/>
    </xf>
    <xf numFmtId="164" fontId="0" fillId="0" borderId="0" xfId="0" applyNumberFormat="1" applyAlignment="1">
      <alignment horizontal="center"/>
    </xf>
    <xf numFmtId="0" fontId="0" fillId="0" borderId="4" xfId="0" applyBorder="1"/>
    <xf numFmtId="164" fontId="0" fillId="0" borderId="4" xfId="0" applyNumberFormat="1" applyBorder="1" applyAlignment="1">
      <alignment horizontal="center"/>
    </xf>
    <xf numFmtId="0" fontId="1" fillId="2" borderId="1" xfId="1" applyAlignment="1">
      <alignment horizontal="center"/>
    </xf>
    <xf numFmtId="0" fontId="1" fillId="2" borderId="3" xfId="1" applyBorder="1" applyAlignment="1">
      <alignment horizontal="center"/>
    </xf>
    <xf numFmtId="164" fontId="0" fillId="0" borderId="2" xfId="0" applyNumberFormat="1" applyBorder="1"/>
    <xf numFmtId="4" fontId="0" fillId="0" borderId="2" xfId="2" applyNumberFormat="1" applyFont="1" applyBorder="1"/>
    <xf numFmtId="164" fontId="0" fillId="0" borderId="0" xfId="0" applyNumberFormat="1"/>
    <xf numFmtId="0" fontId="3" fillId="0" borderId="2" xfId="0" applyFont="1" applyBorder="1" applyAlignment="1">
      <alignment horizontal="center" wrapText="1"/>
    </xf>
  </cellXfs>
  <cellStyles count="3">
    <cellStyle name="Célula de Verificação" xfId="1" builtinId="23"/>
    <cellStyle name="Mo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tabSelected="1" topLeftCell="A43" zoomScale="90" zoomScaleNormal="90" workbookViewId="0">
      <selection activeCell="E47" sqref="E47"/>
    </sheetView>
  </sheetViews>
  <sheetFormatPr defaultRowHeight="15" x14ac:dyDescent="0.25"/>
  <cols>
    <col min="2" max="2" width="15.85546875" customWidth="1"/>
    <col min="3" max="3" width="34" customWidth="1"/>
    <col min="4" max="4" width="47.28515625" customWidth="1"/>
    <col min="5" max="5" width="12.7109375" customWidth="1"/>
    <col min="6" max="6" width="15.7109375" customWidth="1"/>
    <col min="7" max="7" width="12.7109375" customWidth="1"/>
    <col min="8" max="8" width="20.42578125" customWidth="1"/>
    <col min="9" max="9" width="15.28515625" customWidth="1"/>
    <col min="10" max="10" width="13.140625" customWidth="1"/>
  </cols>
  <sheetData>
    <row r="1" spans="1:10" ht="16.5" thickTop="1" thickBot="1" x14ac:dyDescent="0.3">
      <c r="A1" s="3" t="s">
        <v>0</v>
      </c>
      <c r="B1" s="3" t="s">
        <v>1</v>
      </c>
      <c r="C1" s="3" t="s">
        <v>2</v>
      </c>
      <c r="D1" s="3" t="s">
        <v>3</v>
      </c>
      <c r="E1" s="10" t="s">
        <v>4</v>
      </c>
      <c r="F1" s="10" t="s">
        <v>5</v>
      </c>
      <c r="G1" s="10" t="s">
        <v>6</v>
      </c>
      <c r="H1" s="10" t="s">
        <v>7</v>
      </c>
      <c r="I1" s="11" t="s">
        <v>8</v>
      </c>
      <c r="J1" s="3" t="s">
        <v>695</v>
      </c>
    </row>
    <row r="2" spans="1:10" ht="15.75" thickTop="1" x14ac:dyDescent="0.25">
      <c r="A2" s="1"/>
      <c r="B2" s="1"/>
      <c r="C2" s="1"/>
      <c r="D2" s="1"/>
      <c r="E2" s="1"/>
      <c r="F2" s="1"/>
      <c r="G2" s="1"/>
      <c r="H2" s="1"/>
      <c r="I2" s="8"/>
      <c r="J2" s="1"/>
    </row>
    <row r="3" spans="1:10" ht="135" x14ac:dyDescent="0.25">
      <c r="A3" s="4" t="s">
        <v>9</v>
      </c>
      <c r="B3" s="4">
        <v>1</v>
      </c>
      <c r="C3" s="4" t="s">
        <v>10</v>
      </c>
      <c r="D3" s="4" t="s">
        <v>11</v>
      </c>
      <c r="E3" s="2" t="s">
        <v>4</v>
      </c>
      <c r="F3" s="6">
        <v>199.5</v>
      </c>
      <c r="G3" s="6">
        <v>235</v>
      </c>
      <c r="H3" s="6">
        <v>158.56</v>
      </c>
      <c r="I3" s="9">
        <f>(F3+G3+H3)/3</f>
        <v>197.68666666666664</v>
      </c>
      <c r="J3" s="12">
        <f>197.69*1</f>
        <v>197.69</v>
      </c>
    </row>
    <row r="4" spans="1:10" ht="135" x14ac:dyDescent="0.25">
      <c r="A4" s="4" t="s">
        <v>12</v>
      </c>
      <c r="B4" s="4">
        <v>1</v>
      </c>
      <c r="C4" s="4" t="s">
        <v>13</v>
      </c>
      <c r="D4" s="4" t="s">
        <v>14</v>
      </c>
      <c r="E4" s="2" t="s">
        <v>4</v>
      </c>
      <c r="F4" s="6">
        <v>199.5</v>
      </c>
      <c r="G4" s="6">
        <v>235</v>
      </c>
      <c r="H4" s="6">
        <v>191.33</v>
      </c>
      <c r="I4" s="9">
        <f>(F4+G4+H4)/3</f>
        <v>208.61</v>
      </c>
      <c r="J4" s="12">
        <f>208.61*1</f>
        <v>208.61</v>
      </c>
    </row>
    <row r="5" spans="1:10" ht="135" x14ac:dyDescent="0.25">
      <c r="A5" s="5" t="s">
        <v>15</v>
      </c>
      <c r="B5" s="5">
        <v>100</v>
      </c>
      <c r="C5" s="5" t="s">
        <v>16</v>
      </c>
      <c r="D5" s="4" t="s">
        <v>17</v>
      </c>
      <c r="E5" s="2" t="s">
        <v>4</v>
      </c>
      <c r="F5" s="6">
        <v>7.8</v>
      </c>
      <c r="G5" s="6">
        <v>10.87</v>
      </c>
      <c r="H5" s="6"/>
      <c r="I5" s="9">
        <f>(F5+G5)/2</f>
        <v>9.3349999999999991</v>
      </c>
      <c r="J5" s="12">
        <f>9.34*100</f>
        <v>934</v>
      </c>
    </row>
    <row r="6" spans="1:10" ht="240" x14ac:dyDescent="0.25">
      <c r="A6" s="4" t="s">
        <v>18</v>
      </c>
      <c r="B6" s="4">
        <v>35</v>
      </c>
      <c r="C6" s="4" t="s">
        <v>19</v>
      </c>
      <c r="D6" s="4" t="s">
        <v>20</v>
      </c>
      <c r="E6" s="2" t="s">
        <v>4</v>
      </c>
      <c r="F6" s="6">
        <v>132</v>
      </c>
      <c r="G6" s="6">
        <v>163.81</v>
      </c>
      <c r="H6" s="6">
        <v>115.7</v>
      </c>
      <c r="I6" s="9">
        <f t="shared" ref="I6:I65" si="0">(F6+G6+H6)/3</f>
        <v>137.16999999999999</v>
      </c>
      <c r="J6" s="12">
        <f>137.17*35</f>
        <v>4800.95</v>
      </c>
    </row>
    <row r="7" spans="1:10" ht="105" x14ac:dyDescent="0.25">
      <c r="A7" s="4" t="s">
        <v>21</v>
      </c>
      <c r="B7" s="4">
        <v>8</v>
      </c>
      <c r="C7" s="4" t="s">
        <v>22</v>
      </c>
      <c r="D7" s="4" t="s">
        <v>23</v>
      </c>
      <c r="E7" s="2" t="s">
        <v>4</v>
      </c>
      <c r="F7" s="6">
        <v>32</v>
      </c>
      <c r="G7" s="6">
        <v>54.72</v>
      </c>
      <c r="H7" s="6"/>
      <c r="I7" s="9">
        <f>(F7+G7)/2</f>
        <v>43.36</v>
      </c>
      <c r="J7" s="12">
        <f>43.36*8</f>
        <v>346.88</v>
      </c>
    </row>
    <row r="8" spans="1:10" ht="105" x14ac:dyDescent="0.25">
      <c r="A8" s="4" t="s">
        <v>24</v>
      </c>
      <c r="B8" s="4">
        <v>8</v>
      </c>
      <c r="C8" s="4" t="s">
        <v>25</v>
      </c>
      <c r="D8" s="4" t="s">
        <v>26</v>
      </c>
      <c r="E8" s="2" t="s">
        <v>4</v>
      </c>
      <c r="F8" s="6">
        <v>32</v>
      </c>
      <c r="G8" s="6">
        <v>54.72</v>
      </c>
      <c r="H8" s="6"/>
      <c r="I8" s="9">
        <f>(F8+G8)/2</f>
        <v>43.36</v>
      </c>
      <c r="J8" s="12">
        <f>43.36*8</f>
        <v>346.88</v>
      </c>
    </row>
    <row r="9" spans="1:10" ht="90" x14ac:dyDescent="0.25">
      <c r="A9" s="4" t="s">
        <v>27</v>
      </c>
      <c r="B9" s="4">
        <v>250</v>
      </c>
      <c r="C9" s="4" t="s">
        <v>28</v>
      </c>
      <c r="D9" s="4" t="s">
        <v>29</v>
      </c>
      <c r="E9" s="2" t="s">
        <v>4</v>
      </c>
      <c r="F9" s="6">
        <v>13.2</v>
      </c>
      <c r="G9" s="6">
        <v>11.95</v>
      </c>
      <c r="H9" s="6">
        <v>13.36</v>
      </c>
      <c r="I9" s="9">
        <f t="shared" si="0"/>
        <v>12.836666666666666</v>
      </c>
      <c r="J9" s="12">
        <f>12.84*250</f>
        <v>3210</v>
      </c>
    </row>
    <row r="10" spans="1:10" ht="180" x14ac:dyDescent="0.25">
      <c r="A10" s="4" t="s">
        <v>30</v>
      </c>
      <c r="B10" s="4">
        <v>100</v>
      </c>
      <c r="C10" s="4" t="s">
        <v>31</v>
      </c>
      <c r="D10" s="4" t="s">
        <v>32</v>
      </c>
      <c r="E10" s="2" t="s">
        <v>33</v>
      </c>
      <c r="F10" s="6">
        <v>59.8</v>
      </c>
      <c r="G10" s="6">
        <v>48.22</v>
      </c>
      <c r="H10" s="6">
        <v>48.78</v>
      </c>
      <c r="I10" s="9">
        <f t="shared" si="0"/>
        <v>52.266666666666673</v>
      </c>
      <c r="J10" s="12">
        <f>52.27*100</f>
        <v>5227</v>
      </c>
    </row>
    <row r="11" spans="1:10" ht="150" x14ac:dyDescent="0.25">
      <c r="A11" s="4" t="s">
        <v>34</v>
      </c>
      <c r="B11" s="4">
        <v>20</v>
      </c>
      <c r="C11" s="4" t="s">
        <v>35</v>
      </c>
      <c r="D11" s="4" t="s">
        <v>36</v>
      </c>
      <c r="E11" s="2" t="s">
        <v>33</v>
      </c>
      <c r="F11" s="6">
        <v>19</v>
      </c>
      <c r="G11" s="6"/>
      <c r="H11" s="6">
        <v>9.5299999999999994</v>
      </c>
      <c r="I11" s="9">
        <f t="shared" ref="I11:I17" si="1">(F11+H11)/2</f>
        <v>14.265000000000001</v>
      </c>
      <c r="J11" s="12">
        <f>14.27*20</f>
        <v>285.39999999999998</v>
      </c>
    </row>
    <row r="12" spans="1:10" ht="150" x14ac:dyDescent="0.25">
      <c r="A12" s="4" t="s">
        <v>37</v>
      </c>
      <c r="B12" s="4">
        <v>10</v>
      </c>
      <c r="C12" s="4" t="s">
        <v>38</v>
      </c>
      <c r="D12" s="4" t="s">
        <v>39</v>
      </c>
      <c r="E12" s="2" t="s">
        <v>4</v>
      </c>
      <c r="F12" s="6">
        <v>29.8</v>
      </c>
      <c r="G12" s="6"/>
      <c r="H12" s="6">
        <v>25.18</v>
      </c>
      <c r="I12" s="9">
        <f t="shared" si="1"/>
        <v>27.490000000000002</v>
      </c>
      <c r="J12" s="12">
        <f>27.49*10</f>
        <v>274.89999999999998</v>
      </c>
    </row>
    <row r="13" spans="1:10" ht="150" x14ac:dyDescent="0.25">
      <c r="A13" s="4" t="s">
        <v>40</v>
      </c>
      <c r="B13" s="4">
        <v>10</v>
      </c>
      <c r="C13" s="4" t="s">
        <v>41</v>
      </c>
      <c r="D13" s="4" t="s">
        <v>42</v>
      </c>
      <c r="E13" s="2" t="s">
        <v>4</v>
      </c>
      <c r="F13" s="6">
        <v>29.8</v>
      </c>
      <c r="G13" s="6"/>
      <c r="H13" s="6">
        <v>25.18</v>
      </c>
      <c r="I13" s="9">
        <f t="shared" si="1"/>
        <v>27.490000000000002</v>
      </c>
      <c r="J13" s="12">
        <f>27.49*10</f>
        <v>274.89999999999998</v>
      </c>
    </row>
    <row r="14" spans="1:10" ht="150" x14ac:dyDescent="0.25">
      <c r="A14" s="4" t="s">
        <v>43</v>
      </c>
      <c r="B14" s="4">
        <v>10</v>
      </c>
      <c r="C14" s="4" t="s">
        <v>44</v>
      </c>
      <c r="D14" s="4" t="s">
        <v>45</v>
      </c>
      <c r="E14" s="2" t="s">
        <v>4</v>
      </c>
      <c r="F14" s="6">
        <v>29.8</v>
      </c>
      <c r="G14" s="6"/>
      <c r="H14" s="6">
        <v>26.86</v>
      </c>
      <c r="I14" s="9">
        <f t="shared" si="1"/>
        <v>28.33</v>
      </c>
      <c r="J14" s="12">
        <f>28.33*10</f>
        <v>283.29999999999995</v>
      </c>
    </row>
    <row r="15" spans="1:10" ht="150" x14ac:dyDescent="0.25">
      <c r="A15" s="4" t="s">
        <v>46</v>
      </c>
      <c r="B15" s="4">
        <v>10</v>
      </c>
      <c r="C15" s="4" t="s">
        <v>47</v>
      </c>
      <c r="D15" s="4" t="s">
        <v>48</v>
      </c>
      <c r="E15" s="2" t="s">
        <v>4</v>
      </c>
      <c r="F15" s="6">
        <v>29.8</v>
      </c>
      <c r="G15" s="6"/>
      <c r="H15" s="6">
        <v>28.54</v>
      </c>
      <c r="I15" s="9">
        <f t="shared" si="1"/>
        <v>29.17</v>
      </c>
      <c r="J15" s="12">
        <f>29.17*10</f>
        <v>291.70000000000005</v>
      </c>
    </row>
    <row r="16" spans="1:10" ht="150" x14ac:dyDescent="0.25">
      <c r="A16" s="4" t="s">
        <v>49</v>
      </c>
      <c r="B16" s="4">
        <v>10</v>
      </c>
      <c r="C16" s="4" t="s">
        <v>50</v>
      </c>
      <c r="D16" s="4" t="s">
        <v>51</v>
      </c>
      <c r="E16" s="2" t="s">
        <v>4</v>
      </c>
      <c r="F16" s="6">
        <v>29.8</v>
      </c>
      <c r="G16" s="6"/>
      <c r="H16" s="6">
        <v>29.76</v>
      </c>
      <c r="I16" s="9">
        <f t="shared" si="1"/>
        <v>29.78</v>
      </c>
      <c r="J16" s="12">
        <f>29.78*10</f>
        <v>297.8</v>
      </c>
    </row>
    <row r="17" spans="1:10" ht="150" x14ac:dyDescent="0.25">
      <c r="A17" s="4" t="s">
        <v>52</v>
      </c>
      <c r="B17" s="4">
        <v>10</v>
      </c>
      <c r="C17" s="4" t="s">
        <v>53</v>
      </c>
      <c r="D17" s="4" t="s">
        <v>54</v>
      </c>
      <c r="E17" s="2" t="s">
        <v>4</v>
      </c>
      <c r="F17" s="6">
        <v>29.8</v>
      </c>
      <c r="G17" s="6"/>
      <c r="H17" s="6">
        <v>28.08</v>
      </c>
      <c r="I17" s="9">
        <f t="shared" si="1"/>
        <v>28.939999999999998</v>
      </c>
      <c r="J17" s="12">
        <f>28.94*10</f>
        <v>289.40000000000003</v>
      </c>
    </row>
    <row r="18" spans="1:10" ht="75" x14ac:dyDescent="0.25">
      <c r="A18" s="4" t="s">
        <v>55</v>
      </c>
      <c r="B18" s="4">
        <v>400</v>
      </c>
      <c r="C18" s="4" t="s">
        <v>56</v>
      </c>
      <c r="D18" s="4" t="s">
        <v>57</v>
      </c>
      <c r="E18" s="2" t="s">
        <v>58</v>
      </c>
      <c r="F18" s="6">
        <v>8.1</v>
      </c>
      <c r="G18" s="6">
        <v>6.2</v>
      </c>
      <c r="H18" s="6">
        <v>5.18</v>
      </c>
      <c r="I18" s="9">
        <f t="shared" si="0"/>
        <v>6.4933333333333332</v>
      </c>
      <c r="J18" s="12">
        <f>6.49*400</f>
        <v>2596</v>
      </c>
    </row>
    <row r="19" spans="1:10" ht="90" x14ac:dyDescent="0.25">
      <c r="A19" s="4" t="s">
        <v>59</v>
      </c>
      <c r="B19" s="4">
        <v>100</v>
      </c>
      <c r="C19" s="4" t="s">
        <v>60</v>
      </c>
      <c r="D19" s="4" t="s">
        <v>61</v>
      </c>
      <c r="E19" s="2" t="s">
        <v>58</v>
      </c>
      <c r="F19" s="6">
        <v>8.9499999999999993</v>
      </c>
      <c r="G19" s="6">
        <v>7.8</v>
      </c>
      <c r="H19" s="6">
        <v>4.2699999999999996</v>
      </c>
      <c r="I19" s="9">
        <f t="shared" si="0"/>
        <v>7.0066666666666668</v>
      </c>
      <c r="J19" s="12">
        <f>7.01*100</f>
        <v>701</v>
      </c>
    </row>
    <row r="20" spans="1:10" ht="315" x14ac:dyDescent="0.25">
      <c r="A20" s="4" t="s">
        <v>62</v>
      </c>
      <c r="B20" s="4">
        <v>60</v>
      </c>
      <c r="C20" s="4" t="s">
        <v>63</v>
      </c>
      <c r="D20" s="4" t="s">
        <v>64</v>
      </c>
      <c r="E20" s="2" t="s">
        <v>65</v>
      </c>
      <c r="F20" s="6">
        <v>79.5</v>
      </c>
      <c r="G20" s="6">
        <v>108.68</v>
      </c>
      <c r="H20" s="6">
        <v>70.42</v>
      </c>
      <c r="I20" s="9">
        <f t="shared" si="0"/>
        <v>86.2</v>
      </c>
      <c r="J20" s="12">
        <f>86.2*60</f>
        <v>5172</v>
      </c>
    </row>
    <row r="21" spans="1:10" ht="150" x14ac:dyDescent="0.25">
      <c r="A21" s="4" t="s">
        <v>66</v>
      </c>
      <c r="B21" s="4">
        <v>600</v>
      </c>
      <c r="C21" s="4" t="s">
        <v>67</v>
      </c>
      <c r="D21" s="4" t="s">
        <v>68</v>
      </c>
      <c r="E21" s="2" t="s">
        <v>4</v>
      </c>
      <c r="F21" s="6">
        <v>4.0999999999999996</v>
      </c>
      <c r="G21" s="6">
        <v>3.19</v>
      </c>
      <c r="H21" s="6">
        <v>1.94</v>
      </c>
      <c r="I21" s="9">
        <f t="shared" si="0"/>
        <v>3.0766666666666662</v>
      </c>
      <c r="J21" s="12">
        <f>3.08*600</f>
        <v>1848</v>
      </c>
    </row>
    <row r="22" spans="1:10" ht="135" x14ac:dyDescent="0.25">
      <c r="A22" s="4" t="s">
        <v>69</v>
      </c>
      <c r="B22" s="4">
        <v>6</v>
      </c>
      <c r="C22" s="4" t="s">
        <v>70</v>
      </c>
      <c r="D22" s="4" t="s">
        <v>71</v>
      </c>
      <c r="E22" s="2" t="s">
        <v>4</v>
      </c>
      <c r="F22" s="6">
        <v>92</v>
      </c>
      <c r="G22" s="6">
        <v>98.56</v>
      </c>
      <c r="H22" s="6">
        <v>89.25</v>
      </c>
      <c r="I22" s="9">
        <f t="shared" si="0"/>
        <v>93.27</v>
      </c>
      <c r="J22" s="12">
        <f>93.27*6</f>
        <v>559.62</v>
      </c>
    </row>
    <row r="23" spans="1:10" ht="150" x14ac:dyDescent="0.25">
      <c r="A23" s="4" t="s">
        <v>72</v>
      </c>
      <c r="B23" s="4">
        <v>120</v>
      </c>
      <c r="C23" s="4" t="s">
        <v>73</v>
      </c>
      <c r="D23" s="4" t="s">
        <v>74</v>
      </c>
      <c r="E23" s="2" t="s">
        <v>33</v>
      </c>
      <c r="F23" s="6">
        <v>171.6</v>
      </c>
      <c r="G23" s="6">
        <v>176.98</v>
      </c>
      <c r="H23" s="6">
        <v>134.22999999999999</v>
      </c>
      <c r="I23" s="9">
        <f t="shared" si="0"/>
        <v>160.93666666666664</v>
      </c>
      <c r="J23" s="12">
        <f>160.94*120</f>
        <v>19312.8</v>
      </c>
    </row>
    <row r="24" spans="1:10" ht="150" x14ac:dyDescent="0.25">
      <c r="A24" s="4" t="s">
        <v>75</v>
      </c>
      <c r="B24" s="4">
        <v>120</v>
      </c>
      <c r="C24" s="4" t="s">
        <v>76</v>
      </c>
      <c r="D24" s="4" t="s">
        <v>77</v>
      </c>
      <c r="E24" s="2" t="s">
        <v>33</v>
      </c>
      <c r="F24" s="6">
        <v>122</v>
      </c>
      <c r="G24" s="6">
        <v>168.21</v>
      </c>
      <c r="H24" s="6">
        <v>102.21</v>
      </c>
      <c r="I24" s="9">
        <f t="shared" si="0"/>
        <v>130.80666666666667</v>
      </c>
      <c r="J24" s="12">
        <f>130.81*120</f>
        <v>15697.2</v>
      </c>
    </row>
    <row r="25" spans="1:10" ht="135" x14ac:dyDescent="0.25">
      <c r="A25" s="4" t="s">
        <v>78</v>
      </c>
      <c r="B25" s="4">
        <v>80</v>
      </c>
      <c r="C25" s="4" t="s">
        <v>79</v>
      </c>
      <c r="D25" s="4" t="s">
        <v>80</v>
      </c>
      <c r="E25" s="2" t="s">
        <v>33</v>
      </c>
      <c r="F25" s="6">
        <v>192</v>
      </c>
      <c r="G25" s="6">
        <v>186</v>
      </c>
      <c r="H25" s="6">
        <v>115.96</v>
      </c>
      <c r="I25" s="9">
        <f t="shared" si="0"/>
        <v>164.65333333333334</v>
      </c>
      <c r="J25" s="12">
        <f>164.65*80</f>
        <v>13172</v>
      </c>
    </row>
    <row r="26" spans="1:10" ht="135" x14ac:dyDescent="0.25">
      <c r="A26" s="4" t="s">
        <v>81</v>
      </c>
      <c r="B26" s="4">
        <v>80</v>
      </c>
      <c r="C26" s="4" t="s">
        <v>82</v>
      </c>
      <c r="D26" s="4" t="s">
        <v>83</v>
      </c>
      <c r="E26" s="2" t="s">
        <v>33</v>
      </c>
      <c r="F26" s="6">
        <v>189.5</v>
      </c>
      <c r="G26" s="6">
        <v>252.78</v>
      </c>
      <c r="H26" s="6">
        <v>156.4</v>
      </c>
      <c r="I26" s="9">
        <f t="shared" si="0"/>
        <v>199.55999999999997</v>
      </c>
      <c r="J26" s="12">
        <f>199.56*80</f>
        <v>15964.8</v>
      </c>
    </row>
    <row r="27" spans="1:10" ht="135" x14ac:dyDescent="0.25">
      <c r="A27" s="4" t="s">
        <v>84</v>
      </c>
      <c r="B27" s="4">
        <v>30</v>
      </c>
      <c r="C27" s="4" t="s">
        <v>85</v>
      </c>
      <c r="D27" s="4" t="s">
        <v>86</v>
      </c>
      <c r="E27" s="2" t="s">
        <v>33</v>
      </c>
      <c r="F27" s="6">
        <v>171.6</v>
      </c>
      <c r="G27" s="6">
        <v>176.98</v>
      </c>
      <c r="H27" s="6">
        <v>134.97</v>
      </c>
      <c r="I27" s="9">
        <f t="shared" si="0"/>
        <v>161.18333333333331</v>
      </c>
      <c r="J27" s="12">
        <f>161.18*30</f>
        <v>4835.4000000000005</v>
      </c>
    </row>
    <row r="28" spans="1:10" ht="105" x14ac:dyDescent="0.25">
      <c r="A28" s="4" t="s">
        <v>87</v>
      </c>
      <c r="B28" s="4">
        <v>150</v>
      </c>
      <c r="C28" s="4" t="s">
        <v>88</v>
      </c>
      <c r="D28" s="4" t="s">
        <v>89</v>
      </c>
      <c r="E28" s="2" t="s">
        <v>4</v>
      </c>
      <c r="F28" s="6">
        <v>13.5</v>
      </c>
      <c r="G28" s="6">
        <v>11.55</v>
      </c>
      <c r="H28" s="6">
        <v>8.2899999999999991</v>
      </c>
      <c r="I28" s="9">
        <f t="shared" si="0"/>
        <v>11.113333333333335</v>
      </c>
      <c r="J28" s="12">
        <f>11.11*150</f>
        <v>1666.5</v>
      </c>
    </row>
    <row r="29" spans="1:10" ht="120" x14ac:dyDescent="0.25">
      <c r="A29" s="4" t="s">
        <v>90</v>
      </c>
      <c r="B29" s="4">
        <v>70</v>
      </c>
      <c r="C29" s="4" t="s">
        <v>91</v>
      </c>
      <c r="D29" s="4" t="s">
        <v>92</v>
      </c>
      <c r="E29" s="2" t="s">
        <v>33</v>
      </c>
      <c r="F29" s="6">
        <v>19.2</v>
      </c>
      <c r="G29" s="6">
        <v>12.17</v>
      </c>
      <c r="H29" s="6">
        <v>11.76</v>
      </c>
      <c r="I29" s="9">
        <f t="shared" si="0"/>
        <v>14.376666666666665</v>
      </c>
      <c r="J29" s="12">
        <f>14.38*70</f>
        <v>1006.6</v>
      </c>
    </row>
    <row r="30" spans="1:10" ht="120" x14ac:dyDescent="0.25">
      <c r="A30" s="4" t="s">
        <v>93</v>
      </c>
      <c r="B30" s="4">
        <v>80</v>
      </c>
      <c r="C30" s="4" t="s">
        <v>94</v>
      </c>
      <c r="D30" s="4" t="s">
        <v>95</v>
      </c>
      <c r="E30" s="2" t="s">
        <v>33</v>
      </c>
      <c r="F30" s="6">
        <v>19.2</v>
      </c>
      <c r="G30" s="6">
        <v>12.17</v>
      </c>
      <c r="H30" s="6">
        <v>7.83</v>
      </c>
      <c r="I30" s="9">
        <f t="shared" si="0"/>
        <v>13.066666666666665</v>
      </c>
      <c r="J30" s="12">
        <f>13.07*80</f>
        <v>1045.5999999999999</v>
      </c>
    </row>
    <row r="31" spans="1:10" ht="150" x14ac:dyDescent="0.25">
      <c r="A31" s="4" t="s">
        <v>96</v>
      </c>
      <c r="B31" s="4">
        <v>80</v>
      </c>
      <c r="C31" s="4" t="s">
        <v>97</v>
      </c>
      <c r="D31" s="4" t="s">
        <v>98</v>
      </c>
      <c r="E31" s="2" t="s">
        <v>4</v>
      </c>
      <c r="F31" s="6">
        <v>26</v>
      </c>
      <c r="G31" s="6">
        <v>26.74</v>
      </c>
      <c r="H31" s="6">
        <v>23</v>
      </c>
      <c r="I31" s="9">
        <f t="shared" si="0"/>
        <v>25.246666666666666</v>
      </c>
      <c r="J31" s="12">
        <f>25.25*80</f>
        <v>2020</v>
      </c>
    </row>
    <row r="32" spans="1:10" ht="75" x14ac:dyDescent="0.25">
      <c r="A32" s="4" t="s">
        <v>99</v>
      </c>
      <c r="B32" s="4">
        <v>120</v>
      </c>
      <c r="C32" s="4" t="s">
        <v>100</v>
      </c>
      <c r="D32" s="4" t="s">
        <v>101</v>
      </c>
      <c r="E32" s="2" t="s">
        <v>4</v>
      </c>
      <c r="F32" s="6">
        <v>6</v>
      </c>
      <c r="G32" s="6"/>
      <c r="H32" s="6">
        <v>3.5</v>
      </c>
      <c r="I32" s="9">
        <f t="shared" ref="I32:I37" si="2">(F32+H32)/2</f>
        <v>4.75</v>
      </c>
      <c r="J32" s="12">
        <f>4.75*120</f>
        <v>570</v>
      </c>
    </row>
    <row r="33" spans="1:10" ht="75" x14ac:dyDescent="0.25">
      <c r="A33" s="4" t="s">
        <v>102</v>
      </c>
      <c r="B33" s="4">
        <v>120</v>
      </c>
      <c r="C33" s="4" t="s">
        <v>103</v>
      </c>
      <c r="D33" s="4" t="s">
        <v>104</v>
      </c>
      <c r="E33" s="2" t="s">
        <v>4</v>
      </c>
      <c r="F33" s="6">
        <v>6</v>
      </c>
      <c r="G33" s="6"/>
      <c r="H33" s="6">
        <v>3.5</v>
      </c>
      <c r="I33" s="9">
        <f t="shared" si="2"/>
        <v>4.75</v>
      </c>
      <c r="J33" s="12">
        <f>4.75*120</f>
        <v>570</v>
      </c>
    </row>
    <row r="34" spans="1:10" ht="75" x14ac:dyDescent="0.25">
      <c r="A34" s="4" t="s">
        <v>105</v>
      </c>
      <c r="B34" s="4">
        <v>360</v>
      </c>
      <c r="C34" s="4" t="s">
        <v>106</v>
      </c>
      <c r="D34" s="4" t="s">
        <v>107</v>
      </c>
      <c r="E34" s="2" t="s">
        <v>4</v>
      </c>
      <c r="F34" s="6">
        <v>6</v>
      </c>
      <c r="G34" s="6"/>
      <c r="H34" s="6">
        <v>3</v>
      </c>
      <c r="I34" s="9">
        <f t="shared" si="2"/>
        <v>4.5</v>
      </c>
      <c r="J34" s="12">
        <f>4.5*360</f>
        <v>1620</v>
      </c>
    </row>
    <row r="35" spans="1:10" ht="75" x14ac:dyDescent="0.25">
      <c r="A35" s="4" t="s">
        <v>108</v>
      </c>
      <c r="B35" s="4">
        <v>240</v>
      </c>
      <c r="C35" s="4" t="s">
        <v>109</v>
      </c>
      <c r="D35" s="4" t="s">
        <v>110</v>
      </c>
      <c r="E35" s="2" t="s">
        <v>4</v>
      </c>
      <c r="F35" s="6">
        <v>6</v>
      </c>
      <c r="G35" s="6"/>
      <c r="H35" s="6">
        <v>2.91</v>
      </c>
      <c r="I35" s="9">
        <f t="shared" si="2"/>
        <v>4.4550000000000001</v>
      </c>
      <c r="J35" s="12">
        <f>4.46*240</f>
        <v>1070.4000000000001</v>
      </c>
    </row>
    <row r="36" spans="1:10" ht="75" x14ac:dyDescent="0.25">
      <c r="A36" s="4" t="s">
        <v>111</v>
      </c>
      <c r="B36" s="4">
        <v>240</v>
      </c>
      <c r="C36" s="4" t="s">
        <v>112</v>
      </c>
      <c r="D36" s="15" t="s">
        <v>113</v>
      </c>
      <c r="E36" s="2" t="s">
        <v>4</v>
      </c>
      <c r="F36" s="6">
        <v>6</v>
      </c>
      <c r="G36" s="6"/>
      <c r="H36" s="6">
        <v>6.48</v>
      </c>
      <c r="I36" s="9">
        <f t="shared" si="2"/>
        <v>6.24</v>
      </c>
      <c r="J36" s="12">
        <f>6.24*240</f>
        <v>1497.6000000000001</v>
      </c>
    </row>
    <row r="37" spans="1:10" ht="75" x14ac:dyDescent="0.25">
      <c r="A37" s="4" t="s">
        <v>114</v>
      </c>
      <c r="B37" s="4">
        <v>180</v>
      </c>
      <c r="C37" s="4" t="s">
        <v>115</v>
      </c>
      <c r="D37" s="4" t="s">
        <v>116</v>
      </c>
      <c r="E37" s="2" t="s">
        <v>4</v>
      </c>
      <c r="F37" s="6">
        <v>6</v>
      </c>
      <c r="G37" s="6"/>
      <c r="H37" s="6">
        <v>3.11</v>
      </c>
      <c r="I37" s="9">
        <f t="shared" si="2"/>
        <v>4.5549999999999997</v>
      </c>
      <c r="J37" s="12">
        <f>4.56*180</f>
        <v>820.8</v>
      </c>
    </row>
    <row r="38" spans="1:10" ht="75" x14ac:dyDescent="0.25">
      <c r="A38" s="4" t="s">
        <v>117</v>
      </c>
      <c r="B38" s="4">
        <v>300</v>
      </c>
      <c r="C38" s="4" t="s">
        <v>118</v>
      </c>
      <c r="D38" s="4" t="s">
        <v>119</v>
      </c>
      <c r="E38" s="2" t="s">
        <v>4</v>
      </c>
      <c r="F38" s="6"/>
      <c r="G38" s="6">
        <v>28</v>
      </c>
      <c r="H38" s="6">
        <v>19.64</v>
      </c>
      <c r="I38" s="9">
        <f>(G38+H38)/2</f>
        <v>23.82</v>
      </c>
      <c r="J38" s="12">
        <f>23.82*300</f>
        <v>7146</v>
      </c>
    </row>
    <row r="39" spans="1:10" ht="75" x14ac:dyDescent="0.25">
      <c r="A39" s="4" t="s">
        <v>120</v>
      </c>
      <c r="B39" s="4">
        <v>300</v>
      </c>
      <c r="C39" s="4" t="s">
        <v>121</v>
      </c>
      <c r="D39" s="4" t="s">
        <v>122</v>
      </c>
      <c r="E39" s="2" t="s">
        <v>696</v>
      </c>
      <c r="F39" s="6">
        <v>6</v>
      </c>
      <c r="G39" s="6"/>
      <c r="H39" s="6">
        <v>5.8</v>
      </c>
      <c r="I39" s="9">
        <f>(F39+H39)/2</f>
        <v>5.9</v>
      </c>
      <c r="J39" s="12">
        <f>5.9*300</f>
        <v>1770</v>
      </c>
    </row>
    <row r="40" spans="1:10" ht="75" x14ac:dyDescent="0.25">
      <c r="A40" s="4" t="s">
        <v>123</v>
      </c>
      <c r="B40" s="4">
        <v>300</v>
      </c>
      <c r="C40" s="4" t="s">
        <v>124</v>
      </c>
      <c r="D40" s="4" t="s">
        <v>125</v>
      </c>
      <c r="E40" s="2" t="s">
        <v>4</v>
      </c>
      <c r="F40" s="6">
        <v>6</v>
      </c>
      <c r="G40" s="6"/>
      <c r="H40" s="6">
        <v>4.4800000000000004</v>
      </c>
      <c r="I40" s="9">
        <f>(F40+H40)/3</f>
        <v>3.4933333333333336</v>
      </c>
      <c r="J40" s="12">
        <f>3.49*300</f>
        <v>1047</v>
      </c>
    </row>
    <row r="41" spans="1:10" ht="75" x14ac:dyDescent="0.25">
      <c r="A41" s="4" t="s">
        <v>126</v>
      </c>
      <c r="B41" s="4">
        <v>360</v>
      </c>
      <c r="C41" s="4" t="s">
        <v>127</v>
      </c>
      <c r="D41" s="4" t="s">
        <v>128</v>
      </c>
      <c r="E41" s="2" t="s">
        <v>4</v>
      </c>
      <c r="F41" s="6">
        <v>8.1</v>
      </c>
      <c r="G41" s="6"/>
      <c r="H41" s="6">
        <v>5.44</v>
      </c>
      <c r="I41" s="9">
        <f t="shared" ref="I41:I46" si="3">(F41+H41)/2</f>
        <v>6.77</v>
      </c>
      <c r="J41" s="12">
        <f>6.77*360</f>
        <v>2437.1999999999998</v>
      </c>
    </row>
    <row r="42" spans="1:10" ht="75" x14ac:dyDescent="0.25">
      <c r="A42" s="4" t="s">
        <v>129</v>
      </c>
      <c r="B42" s="4">
        <v>360</v>
      </c>
      <c r="C42" s="4" t="s">
        <v>130</v>
      </c>
      <c r="D42" s="4" t="s">
        <v>131</v>
      </c>
      <c r="E42" s="2" t="s">
        <v>696</v>
      </c>
      <c r="F42" s="6">
        <v>8.1</v>
      </c>
      <c r="G42" s="6"/>
      <c r="H42" s="6">
        <v>7.68</v>
      </c>
      <c r="I42" s="9">
        <f t="shared" si="3"/>
        <v>7.89</v>
      </c>
      <c r="J42" s="12">
        <f>7.89*360</f>
        <v>2840.4</v>
      </c>
    </row>
    <row r="43" spans="1:10" ht="75" x14ac:dyDescent="0.25">
      <c r="A43" s="4" t="s">
        <v>132</v>
      </c>
      <c r="B43" s="4">
        <v>300</v>
      </c>
      <c r="C43" s="4" t="s">
        <v>133</v>
      </c>
      <c r="D43" s="4" t="s">
        <v>134</v>
      </c>
      <c r="E43" s="2" t="s">
        <v>4</v>
      </c>
      <c r="F43" s="6">
        <v>8.1</v>
      </c>
      <c r="G43" s="6"/>
      <c r="H43" s="6">
        <v>6.46</v>
      </c>
      <c r="I43" s="9">
        <f t="shared" si="3"/>
        <v>7.2799999999999994</v>
      </c>
      <c r="J43" s="12">
        <f>7.28*300</f>
        <v>2184</v>
      </c>
    </row>
    <row r="44" spans="1:10" ht="75" x14ac:dyDescent="0.25">
      <c r="A44" s="4" t="s">
        <v>135</v>
      </c>
      <c r="B44" s="4">
        <v>300</v>
      </c>
      <c r="C44" s="4" t="s">
        <v>136</v>
      </c>
      <c r="D44" s="4" t="s">
        <v>137</v>
      </c>
      <c r="E44" s="2" t="s">
        <v>4</v>
      </c>
      <c r="F44" s="6">
        <v>8.1</v>
      </c>
      <c r="G44" s="6"/>
      <c r="H44" s="6">
        <v>6.46</v>
      </c>
      <c r="I44" s="9">
        <f t="shared" si="3"/>
        <v>7.2799999999999994</v>
      </c>
      <c r="J44" s="12">
        <f>7.28*300</f>
        <v>2184</v>
      </c>
    </row>
    <row r="45" spans="1:10" ht="75" x14ac:dyDescent="0.25">
      <c r="A45" s="4" t="s">
        <v>138</v>
      </c>
      <c r="B45" s="4">
        <v>300</v>
      </c>
      <c r="C45" s="4" t="s">
        <v>139</v>
      </c>
      <c r="D45" s="4" t="s">
        <v>140</v>
      </c>
      <c r="E45" s="2" t="s">
        <v>4</v>
      </c>
      <c r="F45" s="6">
        <v>8.1</v>
      </c>
      <c r="G45" s="6"/>
      <c r="H45" s="6">
        <v>6.47</v>
      </c>
      <c r="I45" s="9">
        <f t="shared" si="3"/>
        <v>7.2850000000000001</v>
      </c>
      <c r="J45" s="12">
        <f>7.29*300</f>
        <v>2187</v>
      </c>
    </row>
    <row r="46" spans="1:10" ht="75" x14ac:dyDescent="0.25">
      <c r="A46" s="4" t="s">
        <v>141</v>
      </c>
      <c r="B46" s="4">
        <v>480</v>
      </c>
      <c r="C46" s="4" t="s">
        <v>142</v>
      </c>
      <c r="D46" s="4" t="s">
        <v>143</v>
      </c>
      <c r="E46" s="2" t="s">
        <v>4</v>
      </c>
      <c r="F46" s="6">
        <v>8.1</v>
      </c>
      <c r="G46" s="6"/>
      <c r="H46" s="6">
        <v>6.37</v>
      </c>
      <c r="I46" s="9">
        <f t="shared" si="3"/>
        <v>7.2349999999999994</v>
      </c>
      <c r="J46" s="12">
        <f>7.24*480</f>
        <v>3475.2000000000003</v>
      </c>
    </row>
    <row r="47" spans="1:10" ht="150" x14ac:dyDescent="0.25">
      <c r="A47" s="4" t="s">
        <v>144</v>
      </c>
      <c r="B47" s="4">
        <v>100</v>
      </c>
      <c r="C47" s="4" t="s">
        <v>145</v>
      </c>
      <c r="D47" s="4" t="s">
        <v>146</v>
      </c>
      <c r="E47" s="2" t="s">
        <v>4</v>
      </c>
      <c r="F47" s="6">
        <v>46</v>
      </c>
      <c r="G47" s="6">
        <v>68.55</v>
      </c>
      <c r="H47" s="6">
        <v>36.67</v>
      </c>
      <c r="I47" s="9">
        <f t="shared" si="0"/>
        <v>50.406666666666666</v>
      </c>
      <c r="J47" s="12">
        <f>50.41*100</f>
        <v>5041</v>
      </c>
    </row>
    <row r="48" spans="1:10" ht="105" x14ac:dyDescent="0.25">
      <c r="A48" s="4" t="s">
        <v>147</v>
      </c>
      <c r="B48" s="4">
        <v>100</v>
      </c>
      <c r="C48" s="4" t="s">
        <v>148</v>
      </c>
      <c r="D48" s="4" t="s">
        <v>149</v>
      </c>
      <c r="E48" s="2" t="s">
        <v>4</v>
      </c>
      <c r="F48" s="6">
        <v>42</v>
      </c>
      <c r="G48" s="6">
        <v>55.51</v>
      </c>
      <c r="H48" s="6">
        <v>38.06</v>
      </c>
      <c r="I48" s="9">
        <f t="shared" si="0"/>
        <v>45.19</v>
      </c>
      <c r="J48" s="12">
        <f>45.19*100</f>
        <v>4519</v>
      </c>
    </row>
    <row r="49" spans="1:10" ht="90" x14ac:dyDescent="0.25">
      <c r="A49" s="4" t="s">
        <v>150</v>
      </c>
      <c r="B49" s="4">
        <v>30</v>
      </c>
      <c r="C49" s="4" t="s">
        <v>151</v>
      </c>
      <c r="D49" s="4" t="s">
        <v>152</v>
      </c>
      <c r="E49" s="2" t="s">
        <v>4</v>
      </c>
      <c r="F49" s="6">
        <v>17.2</v>
      </c>
      <c r="G49" s="6">
        <v>13.76</v>
      </c>
      <c r="H49" s="6">
        <v>16.48</v>
      </c>
      <c r="I49" s="9">
        <f t="shared" si="0"/>
        <v>15.813333333333333</v>
      </c>
      <c r="J49" s="12">
        <f>15.81*30</f>
        <v>474.3</v>
      </c>
    </row>
    <row r="50" spans="1:10" ht="90" x14ac:dyDescent="0.25">
      <c r="A50" s="4" t="s">
        <v>153</v>
      </c>
      <c r="B50" s="4">
        <v>30</v>
      </c>
      <c r="C50" s="4" t="s">
        <v>154</v>
      </c>
      <c r="D50" s="4" t="s">
        <v>155</v>
      </c>
      <c r="E50" s="2" t="s">
        <v>4</v>
      </c>
      <c r="F50" s="6">
        <v>17.2</v>
      </c>
      <c r="G50" s="6">
        <v>13.76</v>
      </c>
      <c r="H50" s="6">
        <v>16.510000000000002</v>
      </c>
      <c r="I50" s="9">
        <f t="shared" si="0"/>
        <v>15.823333333333332</v>
      </c>
      <c r="J50" s="12">
        <f>15.82*30</f>
        <v>474.6</v>
      </c>
    </row>
    <row r="51" spans="1:10" ht="90" x14ac:dyDescent="0.25">
      <c r="A51" s="4" t="s">
        <v>156</v>
      </c>
      <c r="B51" s="4">
        <v>30</v>
      </c>
      <c r="C51" s="4" t="s">
        <v>157</v>
      </c>
      <c r="D51" s="4" t="s">
        <v>158</v>
      </c>
      <c r="E51" s="2" t="s">
        <v>4</v>
      </c>
      <c r="F51" s="6">
        <v>17.2</v>
      </c>
      <c r="G51" s="6">
        <v>13.76</v>
      </c>
      <c r="H51" s="6">
        <v>16.38</v>
      </c>
      <c r="I51" s="9">
        <f t="shared" si="0"/>
        <v>15.780000000000001</v>
      </c>
      <c r="J51" s="12">
        <f>15.78*30</f>
        <v>473.4</v>
      </c>
    </row>
    <row r="52" spans="1:10" ht="90" x14ac:dyDescent="0.25">
      <c r="A52" s="4" t="s">
        <v>159</v>
      </c>
      <c r="B52" s="4">
        <v>30</v>
      </c>
      <c r="C52" s="4" t="s">
        <v>160</v>
      </c>
      <c r="D52" s="4" t="s">
        <v>161</v>
      </c>
      <c r="E52" s="2" t="s">
        <v>4</v>
      </c>
      <c r="F52" s="6">
        <v>17.2</v>
      </c>
      <c r="G52" s="6">
        <v>13.76</v>
      </c>
      <c r="H52" s="6">
        <v>16.48</v>
      </c>
      <c r="I52" s="9">
        <f t="shared" si="0"/>
        <v>15.813333333333333</v>
      </c>
      <c r="J52" s="12">
        <f>15.81*30</f>
        <v>474.3</v>
      </c>
    </row>
    <row r="53" spans="1:10" ht="90" x14ac:dyDescent="0.25">
      <c r="A53" s="4" t="s">
        <v>162</v>
      </c>
      <c r="B53" s="4">
        <v>30</v>
      </c>
      <c r="C53" s="4" t="s">
        <v>163</v>
      </c>
      <c r="D53" s="4" t="s">
        <v>164</v>
      </c>
      <c r="E53" s="2" t="s">
        <v>4</v>
      </c>
      <c r="F53" s="6">
        <v>17.2</v>
      </c>
      <c r="G53" s="6">
        <v>13.76</v>
      </c>
      <c r="H53" s="6">
        <v>16.510000000000002</v>
      </c>
      <c r="I53" s="9">
        <f t="shared" si="0"/>
        <v>15.823333333333332</v>
      </c>
      <c r="J53" s="12">
        <f>15.82*30</f>
        <v>474.6</v>
      </c>
    </row>
    <row r="54" spans="1:10" ht="90" x14ac:dyDescent="0.25">
      <c r="A54" s="4" t="s">
        <v>165</v>
      </c>
      <c r="B54" s="4">
        <v>30</v>
      </c>
      <c r="C54" s="4" t="s">
        <v>166</v>
      </c>
      <c r="D54" s="4" t="s">
        <v>167</v>
      </c>
      <c r="E54" s="2" t="s">
        <v>4</v>
      </c>
      <c r="F54" s="6">
        <v>17.2</v>
      </c>
      <c r="G54" s="6">
        <v>13.76</v>
      </c>
      <c r="H54" s="6">
        <v>16.38</v>
      </c>
      <c r="I54" s="9">
        <f t="shared" si="0"/>
        <v>15.780000000000001</v>
      </c>
      <c r="J54" s="12">
        <f>15.78*30</f>
        <v>473.4</v>
      </c>
    </row>
    <row r="55" spans="1:10" ht="105" x14ac:dyDescent="0.25">
      <c r="A55" s="4" t="s">
        <v>168</v>
      </c>
      <c r="B55" s="4">
        <v>50</v>
      </c>
      <c r="C55" s="4" t="s">
        <v>169</v>
      </c>
      <c r="D55" s="4" t="s">
        <v>170</v>
      </c>
      <c r="E55" s="2" t="s">
        <v>4</v>
      </c>
      <c r="F55" s="6">
        <v>26</v>
      </c>
      <c r="G55" s="6"/>
      <c r="H55" s="6">
        <v>16.850000000000001</v>
      </c>
      <c r="I55" s="9">
        <f>(F55+H55)/2</f>
        <v>21.425000000000001</v>
      </c>
      <c r="J55" s="12">
        <f>21.43*50</f>
        <v>1071.5</v>
      </c>
    </row>
    <row r="56" spans="1:10" ht="105" x14ac:dyDescent="0.25">
      <c r="A56" s="4" t="s">
        <v>171</v>
      </c>
      <c r="B56" s="4">
        <v>50</v>
      </c>
      <c r="C56" s="4" t="s">
        <v>172</v>
      </c>
      <c r="D56" s="4" t="s">
        <v>173</v>
      </c>
      <c r="E56" s="2" t="s">
        <v>4</v>
      </c>
      <c r="F56" s="6">
        <v>26</v>
      </c>
      <c r="G56" s="6"/>
      <c r="H56" s="6">
        <v>18.440000000000001</v>
      </c>
      <c r="I56" s="9">
        <f>(F56+H56)/2</f>
        <v>22.22</v>
      </c>
      <c r="J56" s="12">
        <f>22.22*50</f>
        <v>1111</v>
      </c>
    </row>
    <row r="57" spans="1:10" ht="150" x14ac:dyDescent="0.25">
      <c r="A57" s="4" t="s">
        <v>174</v>
      </c>
      <c r="B57" s="4">
        <v>40</v>
      </c>
      <c r="C57" s="4" t="s">
        <v>175</v>
      </c>
      <c r="D57" s="4" t="s">
        <v>176</v>
      </c>
      <c r="E57" s="2" t="s">
        <v>4</v>
      </c>
      <c r="F57" s="6"/>
      <c r="G57" s="6">
        <v>12.78</v>
      </c>
      <c r="H57" s="6">
        <v>7.88</v>
      </c>
      <c r="I57" s="9">
        <f>(G57+H57)/2</f>
        <v>10.33</v>
      </c>
      <c r="J57" s="12">
        <f>10.33*40</f>
        <v>413.2</v>
      </c>
    </row>
    <row r="58" spans="1:10" ht="120" x14ac:dyDescent="0.25">
      <c r="A58" s="4" t="s">
        <v>177</v>
      </c>
      <c r="B58" s="4">
        <v>350</v>
      </c>
      <c r="C58" s="4" t="s">
        <v>178</v>
      </c>
      <c r="D58" s="4" t="s">
        <v>179</v>
      </c>
      <c r="E58" s="2" t="s">
        <v>65</v>
      </c>
      <c r="F58" s="6">
        <v>18.2</v>
      </c>
      <c r="G58" s="6">
        <v>20.7</v>
      </c>
      <c r="H58" s="6">
        <v>11.31</v>
      </c>
      <c r="I58" s="9">
        <f t="shared" si="0"/>
        <v>16.736666666666668</v>
      </c>
      <c r="J58" s="12">
        <f>16.74*350</f>
        <v>5858.9999999999991</v>
      </c>
    </row>
    <row r="59" spans="1:10" ht="120" x14ac:dyDescent="0.25">
      <c r="A59" s="4" t="s">
        <v>180</v>
      </c>
      <c r="B59" s="4">
        <v>10</v>
      </c>
      <c r="C59" s="4" t="s">
        <v>181</v>
      </c>
      <c r="D59" s="4" t="s">
        <v>182</v>
      </c>
      <c r="E59" s="2" t="s">
        <v>4</v>
      </c>
      <c r="F59" s="6">
        <v>17.3</v>
      </c>
      <c r="G59" s="6">
        <v>20.88</v>
      </c>
      <c r="H59" s="6">
        <v>18.329999999999998</v>
      </c>
      <c r="I59" s="9">
        <f t="shared" si="0"/>
        <v>18.836666666666666</v>
      </c>
      <c r="J59" s="12">
        <f>18.84*10</f>
        <v>188.4</v>
      </c>
    </row>
    <row r="60" spans="1:10" ht="90" x14ac:dyDescent="0.25">
      <c r="A60" s="4" t="s">
        <v>183</v>
      </c>
      <c r="B60" s="4">
        <v>10</v>
      </c>
      <c r="C60" s="4" t="s">
        <v>184</v>
      </c>
      <c r="D60" s="4" t="s">
        <v>185</v>
      </c>
      <c r="E60" s="2" t="s">
        <v>65</v>
      </c>
      <c r="F60" s="6">
        <v>14.5</v>
      </c>
      <c r="G60" s="6">
        <v>14.9</v>
      </c>
      <c r="H60" s="6"/>
      <c r="I60" s="9">
        <f>(F60+G60)/2</f>
        <v>14.7</v>
      </c>
      <c r="J60" s="12">
        <f>14.7*10</f>
        <v>147</v>
      </c>
    </row>
    <row r="61" spans="1:10" ht="90" x14ac:dyDescent="0.25">
      <c r="A61" s="4" t="s">
        <v>186</v>
      </c>
      <c r="B61" s="4">
        <v>10</v>
      </c>
      <c r="C61" s="4" t="s">
        <v>187</v>
      </c>
      <c r="D61" s="4" t="s">
        <v>188</v>
      </c>
      <c r="E61" s="2" t="s">
        <v>65</v>
      </c>
      <c r="F61" s="6">
        <v>15.3</v>
      </c>
      <c r="G61" s="6">
        <v>14.9</v>
      </c>
      <c r="H61" s="6"/>
      <c r="I61" s="9">
        <f>(F61+G61)/2</f>
        <v>15.100000000000001</v>
      </c>
      <c r="J61" s="12">
        <f>15.1*10</f>
        <v>151</v>
      </c>
    </row>
    <row r="62" spans="1:10" ht="90" x14ac:dyDescent="0.25">
      <c r="A62" s="4" t="s">
        <v>189</v>
      </c>
      <c r="B62" s="4">
        <v>10</v>
      </c>
      <c r="C62" s="4" t="s">
        <v>190</v>
      </c>
      <c r="D62" s="4" t="s">
        <v>191</v>
      </c>
      <c r="E62" s="2" t="s">
        <v>65</v>
      </c>
      <c r="F62" s="6">
        <v>15.4</v>
      </c>
      <c r="G62" s="6">
        <v>17.04</v>
      </c>
      <c r="H62" s="6"/>
      <c r="I62" s="9">
        <f>(F62+G62)/2</f>
        <v>16.22</v>
      </c>
      <c r="J62" s="12">
        <f>16.22*10</f>
        <v>162.19999999999999</v>
      </c>
    </row>
    <row r="63" spans="1:10" ht="90" x14ac:dyDescent="0.25">
      <c r="A63" s="4" t="s">
        <v>192</v>
      </c>
      <c r="B63" s="4">
        <v>5</v>
      </c>
      <c r="C63" s="4" t="s">
        <v>193</v>
      </c>
      <c r="D63" s="4" t="s">
        <v>194</v>
      </c>
      <c r="E63" s="2" t="s">
        <v>33</v>
      </c>
      <c r="F63" s="6"/>
      <c r="G63" s="6">
        <v>15.86</v>
      </c>
      <c r="H63" s="6">
        <v>13.99</v>
      </c>
      <c r="I63" s="9">
        <f>(G63+H63)/2</f>
        <v>14.925000000000001</v>
      </c>
      <c r="J63" s="12">
        <f>14.93*5</f>
        <v>74.650000000000006</v>
      </c>
    </row>
    <row r="64" spans="1:10" ht="150" x14ac:dyDescent="0.25">
      <c r="A64" s="4" t="s">
        <v>195</v>
      </c>
      <c r="B64" s="4">
        <v>150</v>
      </c>
      <c r="C64" s="4" t="s">
        <v>196</v>
      </c>
      <c r="D64" s="4" t="s">
        <v>197</v>
      </c>
      <c r="E64" s="2" t="s">
        <v>198</v>
      </c>
      <c r="F64" s="6">
        <v>59.8</v>
      </c>
      <c r="G64" s="6">
        <v>53.59</v>
      </c>
      <c r="H64" s="6">
        <v>59</v>
      </c>
      <c r="I64" s="9">
        <f t="shared" si="0"/>
        <v>57.463333333333331</v>
      </c>
      <c r="J64" s="12">
        <f>57.46*150</f>
        <v>8619</v>
      </c>
    </row>
    <row r="65" spans="1:10" x14ac:dyDescent="0.25">
      <c r="A65" s="4"/>
      <c r="B65" s="4"/>
      <c r="C65" s="4"/>
      <c r="D65" s="4"/>
      <c r="E65" s="2"/>
      <c r="F65" s="6"/>
      <c r="G65" s="6"/>
      <c r="H65" s="6"/>
      <c r="I65" s="9">
        <f t="shared" si="0"/>
        <v>0</v>
      </c>
      <c r="J65" s="12">
        <f t="shared" ref="J65" si="4">B65*I65</f>
        <v>0</v>
      </c>
    </row>
    <row r="66" spans="1:10" ht="150" x14ac:dyDescent="0.25">
      <c r="A66" s="4" t="s">
        <v>199</v>
      </c>
      <c r="B66" s="4">
        <v>10</v>
      </c>
      <c r="C66" s="4" t="s">
        <v>200</v>
      </c>
      <c r="D66" s="4" t="s">
        <v>201</v>
      </c>
      <c r="E66" s="2" t="s">
        <v>198</v>
      </c>
      <c r="F66" s="6">
        <v>66</v>
      </c>
      <c r="G66" s="6"/>
      <c r="H66" s="6">
        <v>68.72</v>
      </c>
      <c r="I66" s="9">
        <f>(F66+H66)/2</f>
        <v>67.36</v>
      </c>
      <c r="J66" s="12">
        <f>67.36*10</f>
        <v>673.6</v>
      </c>
    </row>
    <row r="67" spans="1:10" ht="150" x14ac:dyDescent="0.25">
      <c r="A67" s="4" t="s">
        <v>202</v>
      </c>
      <c r="B67" s="4">
        <v>10</v>
      </c>
      <c r="C67" s="4" t="s">
        <v>203</v>
      </c>
      <c r="D67" s="4" t="s">
        <v>204</v>
      </c>
      <c r="E67" s="2" t="s">
        <v>4</v>
      </c>
      <c r="F67" s="6">
        <v>57</v>
      </c>
      <c r="G67" s="6"/>
      <c r="H67" s="6">
        <v>47.49</v>
      </c>
      <c r="I67" s="9">
        <f>(F67+H67)/2</f>
        <v>52.245000000000005</v>
      </c>
      <c r="J67" s="12">
        <f>52.25*10</f>
        <v>522.5</v>
      </c>
    </row>
    <row r="68" spans="1:10" ht="135" x14ac:dyDescent="0.25">
      <c r="A68" s="4" t="s">
        <v>205</v>
      </c>
      <c r="B68" s="4">
        <v>10</v>
      </c>
      <c r="C68" s="4" t="s">
        <v>206</v>
      </c>
      <c r="D68" s="4" t="s">
        <v>207</v>
      </c>
      <c r="E68" s="2" t="s">
        <v>33</v>
      </c>
      <c r="F68" s="6">
        <v>69.8</v>
      </c>
      <c r="G68" s="6"/>
      <c r="H68" s="6">
        <v>92.45</v>
      </c>
      <c r="I68" s="9">
        <f>(F68+H68)/2</f>
        <v>81.125</v>
      </c>
      <c r="J68" s="12">
        <f>81.13*10</f>
        <v>811.3</v>
      </c>
    </row>
    <row r="69" spans="1:10" x14ac:dyDescent="0.25">
      <c r="A69" s="4"/>
      <c r="B69" s="4"/>
      <c r="C69" s="4"/>
      <c r="D69" s="4" t="s">
        <v>208</v>
      </c>
      <c r="E69" s="2"/>
      <c r="F69" s="6"/>
      <c r="G69" s="6"/>
      <c r="H69" s="6"/>
      <c r="I69" s="9">
        <f t="shared" ref="I69:I132" si="5">(F69+G69+H69)/3</f>
        <v>0</v>
      </c>
      <c r="J69" s="12"/>
    </row>
    <row r="70" spans="1:10" ht="135" x14ac:dyDescent="0.25">
      <c r="A70" s="4" t="s">
        <v>209</v>
      </c>
      <c r="B70" s="4">
        <v>10</v>
      </c>
      <c r="C70" s="4" t="s">
        <v>210</v>
      </c>
      <c r="D70" s="4" t="s">
        <v>211</v>
      </c>
      <c r="E70" s="2" t="s">
        <v>33</v>
      </c>
      <c r="F70" s="6">
        <v>69.8</v>
      </c>
      <c r="G70" s="6"/>
      <c r="H70" s="6">
        <v>93.12</v>
      </c>
      <c r="I70" s="9">
        <f>(F70+H70)/2</f>
        <v>81.460000000000008</v>
      </c>
      <c r="J70" s="12">
        <f>81.46*10</f>
        <v>814.59999999999991</v>
      </c>
    </row>
    <row r="71" spans="1:10" ht="135" x14ac:dyDescent="0.25">
      <c r="A71" s="4" t="s">
        <v>212</v>
      </c>
      <c r="B71" s="4">
        <v>10</v>
      </c>
      <c r="C71" s="4" t="s">
        <v>213</v>
      </c>
      <c r="D71" s="4" t="s">
        <v>214</v>
      </c>
      <c r="E71" s="2" t="s">
        <v>33</v>
      </c>
      <c r="F71" s="6">
        <v>69.8</v>
      </c>
      <c r="G71" s="6"/>
      <c r="H71" s="6">
        <v>93.12</v>
      </c>
      <c r="I71" s="9">
        <f>(F71+H71)/2</f>
        <v>81.460000000000008</v>
      </c>
      <c r="J71" s="12">
        <f>81.46*10</f>
        <v>814.59999999999991</v>
      </c>
    </row>
    <row r="72" spans="1:10" ht="135" x14ac:dyDescent="0.25">
      <c r="A72" s="4" t="s">
        <v>215</v>
      </c>
      <c r="B72" s="4">
        <v>30</v>
      </c>
      <c r="C72" s="4" t="s">
        <v>216</v>
      </c>
      <c r="D72" s="4" t="s">
        <v>217</v>
      </c>
      <c r="E72" s="2" t="s">
        <v>33</v>
      </c>
      <c r="F72" s="6">
        <v>34</v>
      </c>
      <c r="G72" s="6">
        <v>40.9</v>
      </c>
      <c r="H72" s="6">
        <v>48.98</v>
      </c>
      <c r="I72" s="9">
        <f t="shared" si="5"/>
        <v>41.293333333333329</v>
      </c>
      <c r="J72" s="12">
        <f>41.29*30</f>
        <v>1238.7</v>
      </c>
    </row>
    <row r="73" spans="1:10" ht="135" x14ac:dyDescent="0.25">
      <c r="A73" s="4" t="s">
        <v>218</v>
      </c>
      <c r="B73" s="4">
        <v>30</v>
      </c>
      <c r="C73" s="4" t="s">
        <v>219</v>
      </c>
      <c r="D73" s="4" t="s">
        <v>220</v>
      </c>
      <c r="E73" s="2" t="s">
        <v>33</v>
      </c>
      <c r="F73" s="6">
        <v>34</v>
      </c>
      <c r="G73" s="6">
        <v>40.9</v>
      </c>
      <c r="H73" s="6">
        <v>20.63</v>
      </c>
      <c r="I73" s="9">
        <f t="shared" si="5"/>
        <v>31.843333333333334</v>
      </c>
      <c r="J73" s="12">
        <f>31.84*30</f>
        <v>955.2</v>
      </c>
    </row>
    <row r="74" spans="1:10" ht="135" x14ac:dyDescent="0.25">
      <c r="A74" s="4" t="s">
        <v>221</v>
      </c>
      <c r="B74" s="4">
        <v>10</v>
      </c>
      <c r="C74" s="4" t="s">
        <v>222</v>
      </c>
      <c r="D74" s="4" t="s">
        <v>223</v>
      </c>
      <c r="E74" s="2" t="s">
        <v>33</v>
      </c>
      <c r="F74" s="6">
        <v>34</v>
      </c>
      <c r="G74" s="6">
        <v>40.9</v>
      </c>
      <c r="H74" s="6">
        <v>23.54</v>
      </c>
      <c r="I74" s="9">
        <f t="shared" si="5"/>
        <v>32.813333333333333</v>
      </c>
      <c r="J74" s="12">
        <f>32.81*10</f>
        <v>328.1</v>
      </c>
    </row>
    <row r="75" spans="1:10" ht="150" x14ac:dyDescent="0.25">
      <c r="A75" s="4" t="s">
        <v>224</v>
      </c>
      <c r="B75" s="4">
        <v>5</v>
      </c>
      <c r="C75" s="4" t="s">
        <v>225</v>
      </c>
      <c r="D75" s="4" t="s">
        <v>226</v>
      </c>
      <c r="E75" s="2" t="s">
        <v>33</v>
      </c>
      <c r="F75" s="6">
        <v>34</v>
      </c>
      <c r="G75" s="6">
        <v>40.9</v>
      </c>
      <c r="H75" s="6">
        <v>27.27</v>
      </c>
      <c r="I75" s="9">
        <f t="shared" si="5"/>
        <v>34.056666666666665</v>
      </c>
      <c r="J75" s="12">
        <f>34.06*5</f>
        <v>170.3</v>
      </c>
    </row>
    <row r="76" spans="1:10" ht="150" x14ac:dyDescent="0.25">
      <c r="A76" s="4" t="s">
        <v>694</v>
      </c>
      <c r="B76" s="4">
        <v>30</v>
      </c>
      <c r="C76" s="4" t="s">
        <v>227</v>
      </c>
      <c r="D76" s="4" t="s">
        <v>228</v>
      </c>
      <c r="E76" s="2" t="s">
        <v>33</v>
      </c>
      <c r="F76" s="6">
        <v>34</v>
      </c>
      <c r="G76" s="6">
        <v>40.9</v>
      </c>
      <c r="H76" s="6">
        <v>22.24</v>
      </c>
      <c r="I76" s="9">
        <f t="shared" si="5"/>
        <v>32.380000000000003</v>
      </c>
      <c r="J76" s="12">
        <f>32.38*30</f>
        <v>971.40000000000009</v>
      </c>
    </row>
    <row r="77" spans="1:10" x14ac:dyDescent="0.25">
      <c r="A77" s="4"/>
      <c r="B77" s="4"/>
      <c r="C77" s="4"/>
      <c r="D77" s="4"/>
      <c r="E77" s="2"/>
      <c r="F77" s="6"/>
      <c r="G77" s="6"/>
      <c r="H77" s="6"/>
      <c r="I77" s="9">
        <f t="shared" si="5"/>
        <v>0</v>
      </c>
      <c r="J77" s="12">
        <f t="shared" ref="J77:J79" si="6">B77*I77</f>
        <v>0</v>
      </c>
    </row>
    <row r="78" spans="1:10" x14ac:dyDescent="0.25">
      <c r="A78" s="4"/>
      <c r="B78" s="4"/>
      <c r="C78" s="4"/>
      <c r="D78" s="4"/>
      <c r="E78" s="2"/>
      <c r="F78" s="6"/>
      <c r="G78" s="6"/>
      <c r="H78" s="6"/>
      <c r="I78" s="9">
        <f t="shared" si="5"/>
        <v>0</v>
      </c>
      <c r="J78" s="12">
        <f t="shared" si="6"/>
        <v>0</v>
      </c>
    </row>
    <row r="79" spans="1:10" x14ac:dyDescent="0.25">
      <c r="A79" s="4"/>
      <c r="B79" s="4"/>
      <c r="C79" s="4"/>
      <c r="D79" s="4"/>
      <c r="E79" s="2"/>
      <c r="F79" s="6"/>
      <c r="G79" s="6"/>
      <c r="H79" s="6"/>
      <c r="I79" s="9">
        <f t="shared" si="5"/>
        <v>0</v>
      </c>
      <c r="J79" s="12">
        <f t="shared" si="6"/>
        <v>0</v>
      </c>
    </row>
    <row r="80" spans="1:10" ht="120" x14ac:dyDescent="0.25">
      <c r="A80" s="4" t="s">
        <v>229</v>
      </c>
      <c r="B80" s="4">
        <v>30</v>
      </c>
      <c r="C80" s="4" t="s">
        <v>230</v>
      </c>
      <c r="D80" s="4" t="s">
        <v>231</v>
      </c>
      <c r="E80" s="2" t="s">
        <v>33</v>
      </c>
      <c r="F80" s="6">
        <v>34</v>
      </c>
      <c r="G80" s="6">
        <v>40.9</v>
      </c>
      <c r="H80" s="6">
        <v>30.95</v>
      </c>
      <c r="I80" s="9">
        <f t="shared" si="5"/>
        <v>35.283333333333339</v>
      </c>
      <c r="J80" s="12">
        <f>35.28*30</f>
        <v>1058.4000000000001</v>
      </c>
    </row>
    <row r="81" spans="1:10" ht="120" x14ac:dyDescent="0.25">
      <c r="A81" s="4" t="s">
        <v>232</v>
      </c>
      <c r="B81" s="4">
        <v>30</v>
      </c>
      <c r="C81" s="4" t="s">
        <v>233</v>
      </c>
      <c r="D81" s="4" t="s">
        <v>234</v>
      </c>
      <c r="E81" s="2" t="s">
        <v>33</v>
      </c>
      <c r="F81" s="6">
        <v>34</v>
      </c>
      <c r="G81" s="6">
        <v>40.9</v>
      </c>
      <c r="H81" s="6">
        <v>30.95</v>
      </c>
      <c r="I81" s="9">
        <f t="shared" si="5"/>
        <v>35.283333333333339</v>
      </c>
      <c r="J81" s="12">
        <f>35.28*30</f>
        <v>1058.4000000000001</v>
      </c>
    </row>
    <row r="82" spans="1:10" ht="120" x14ac:dyDescent="0.25">
      <c r="A82" s="4" t="s">
        <v>235</v>
      </c>
      <c r="B82" s="4">
        <v>20</v>
      </c>
      <c r="C82" s="4" t="s">
        <v>236</v>
      </c>
      <c r="D82" s="4" t="s">
        <v>237</v>
      </c>
      <c r="E82" s="2" t="s">
        <v>33</v>
      </c>
      <c r="F82" s="6">
        <v>34</v>
      </c>
      <c r="G82" s="6">
        <v>40.9</v>
      </c>
      <c r="H82" s="6">
        <v>30.95</v>
      </c>
      <c r="I82" s="9">
        <f t="shared" si="5"/>
        <v>35.283333333333339</v>
      </c>
      <c r="J82" s="12">
        <f>35.28*20</f>
        <v>705.6</v>
      </c>
    </row>
    <row r="83" spans="1:10" ht="120" x14ac:dyDescent="0.25">
      <c r="A83" s="4" t="s">
        <v>238</v>
      </c>
      <c r="B83" s="4">
        <v>2</v>
      </c>
      <c r="C83" s="4" t="s">
        <v>239</v>
      </c>
      <c r="D83" s="4" t="s">
        <v>240</v>
      </c>
      <c r="E83" s="2" t="s">
        <v>33</v>
      </c>
      <c r="F83" s="6">
        <v>34</v>
      </c>
      <c r="G83" s="6">
        <v>40.9</v>
      </c>
      <c r="H83" s="6">
        <v>30.06</v>
      </c>
      <c r="I83" s="9">
        <f t="shared" si="5"/>
        <v>34.986666666666672</v>
      </c>
      <c r="J83" s="12">
        <f>34.99*2</f>
        <v>69.98</v>
      </c>
    </row>
    <row r="84" spans="1:10" ht="90" x14ac:dyDescent="0.25">
      <c r="A84" s="4" t="s">
        <v>241</v>
      </c>
      <c r="B84" s="4">
        <v>30</v>
      </c>
      <c r="C84" s="4" t="s">
        <v>242</v>
      </c>
      <c r="D84" s="4" t="s">
        <v>243</v>
      </c>
      <c r="E84" s="2" t="s">
        <v>65</v>
      </c>
      <c r="F84" s="6">
        <v>24.6</v>
      </c>
      <c r="G84" s="6">
        <v>39.39</v>
      </c>
      <c r="H84" s="6">
        <v>20</v>
      </c>
      <c r="I84" s="9">
        <f t="shared" si="5"/>
        <v>27.99666666666667</v>
      </c>
      <c r="J84" s="12">
        <f>28*30</f>
        <v>840</v>
      </c>
    </row>
    <row r="85" spans="1:10" ht="165" x14ac:dyDescent="0.25">
      <c r="A85" s="4" t="s">
        <v>244</v>
      </c>
      <c r="B85" s="4">
        <v>5</v>
      </c>
      <c r="C85" s="4" t="s">
        <v>245</v>
      </c>
      <c r="D85" s="4" t="s">
        <v>246</v>
      </c>
      <c r="E85" s="2" t="s">
        <v>4</v>
      </c>
      <c r="F85" s="6">
        <v>59.8</v>
      </c>
      <c r="G85" s="6">
        <v>64.37</v>
      </c>
      <c r="H85" s="6">
        <v>60.76</v>
      </c>
      <c r="I85" s="9">
        <f t="shared" si="5"/>
        <v>61.643333333333338</v>
      </c>
      <c r="J85" s="12">
        <f>61.64*5</f>
        <v>308.2</v>
      </c>
    </row>
    <row r="86" spans="1:10" ht="120" x14ac:dyDescent="0.25">
      <c r="A86" s="4" t="s">
        <v>247</v>
      </c>
      <c r="B86" s="4">
        <v>30</v>
      </c>
      <c r="C86" s="4" t="s">
        <v>248</v>
      </c>
      <c r="D86" s="4" t="s">
        <v>249</v>
      </c>
      <c r="E86" s="2" t="s">
        <v>4</v>
      </c>
      <c r="F86" s="6">
        <v>12.5</v>
      </c>
      <c r="G86" s="6">
        <v>9.9</v>
      </c>
      <c r="H86" s="6">
        <v>11.31</v>
      </c>
      <c r="I86" s="9">
        <f t="shared" si="5"/>
        <v>11.236666666666666</v>
      </c>
      <c r="J86" s="12">
        <f>11.24*30</f>
        <v>337.2</v>
      </c>
    </row>
    <row r="87" spans="1:10" ht="90" x14ac:dyDescent="0.25">
      <c r="A87" s="4" t="s">
        <v>250</v>
      </c>
      <c r="B87" s="4">
        <v>50</v>
      </c>
      <c r="C87" s="4" t="s">
        <v>251</v>
      </c>
      <c r="D87" s="4" t="s">
        <v>252</v>
      </c>
      <c r="E87" s="2" t="s">
        <v>4</v>
      </c>
      <c r="F87" s="6">
        <v>2.9</v>
      </c>
      <c r="G87" s="6">
        <v>4.18</v>
      </c>
      <c r="H87" s="6">
        <v>2.63</v>
      </c>
      <c r="I87" s="9">
        <f>(F87+G87+H87)/3</f>
        <v>3.2366666666666668</v>
      </c>
      <c r="J87" s="12">
        <f>3.24*50</f>
        <v>162</v>
      </c>
    </row>
    <row r="88" spans="1:10" ht="150" x14ac:dyDescent="0.25">
      <c r="A88" s="4" t="s">
        <v>253</v>
      </c>
      <c r="B88" s="4">
        <v>10</v>
      </c>
      <c r="C88" s="4" t="s">
        <v>254</v>
      </c>
      <c r="D88" s="4" t="s">
        <v>255</v>
      </c>
      <c r="E88" s="2" t="s">
        <v>33</v>
      </c>
      <c r="F88" s="6">
        <v>61</v>
      </c>
      <c r="G88" s="6"/>
      <c r="H88" s="6">
        <v>74.63</v>
      </c>
      <c r="I88" s="9">
        <f>(F88+H88)/2</f>
        <v>67.814999999999998</v>
      </c>
      <c r="J88" s="12">
        <f>67.82*10</f>
        <v>678.19999999999993</v>
      </c>
    </row>
    <row r="89" spans="1:10" ht="150" x14ac:dyDescent="0.25">
      <c r="A89" s="4" t="s">
        <v>256</v>
      </c>
      <c r="B89" s="4">
        <v>10</v>
      </c>
      <c r="C89" s="4" t="s">
        <v>257</v>
      </c>
      <c r="D89" s="4" t="s">
        <v>258</v>
      </c>
      <c r="E89" s="2" t="s">
        <v>33</v>
      </c>
      <c r="F89" s="6">
        <v>61</v>
      </c>
      <c r="G89" s="6"/>
      <c r="H89" s="6">
        <v>74.63</v>
      </c>
      <c r="I89" s="9">
        <f>(F89+H89)/2</f>
        <v>67.814999999999998</v>
      </c>
      <c r="J89" s="12">
        <f>67.82*10</f>
        <v>678.19999999999993</v>
      </c>
    </row>
    <row r="90" spans="1:10" ht="165" x14ac:dyDescent="0.25">
      <c r="A90" s="4" t="s">
        <v>259</v>
      </c>
      <c r="B90" s="4">
        <v>10</v>
      </c>
      <c r="C90" s="4" t="s">
        <v>260</v>
      </c>
      <c r="D90" s="4" t="s">
        <v>261</v>
      </c>
      <c r="E90" s="2" t="s">
        <v>4</v>
      </c>
      <c r="F90" s="6">
        <v>9.5</v>
      </c>
      <c r="G90" s="6">
        <v>12.33</v>
      </c>
      <c r="H90" s="6">
        <v>5.95</v>
      </c>
      <c r="I90" s="9">
        <f t="shared" si="5"/>
        <v>9.26</v>
      </c>
      <c r="J90" s="12">
        <f>9.26*10</f>
        <v>92.6</v>
      </c>
    </row>
    <row r="91" spans="1:10" ht="165" x14ac:dyDescent="0.25">
      <c r="A91" s="4" t="s">
        <v>262</v>
      </c>
      <c r="B91" s="4">
        <v>15</v>
      </c>
      <c r="C91" s="4" t="s">
        <v>263</v>
      </c>
      <c r="D91" s="4" t="s">
        <v>264</v>
      </c>
      <c r="E91" s="2" t="s">
        <v>4</v>
      </c>
      <c r="F91" s="6">
        <v>66.900000000000006</v>
      </c>
      <c r="G91" s="6">
        <v>86.9</v>
      </c>
      <c r="H91" s="6">
        <v>57.8</v>
      </c>
      <c r="I91" s="9">
        <f t="shared" si="5"/>
        <v>70.533333333333346</v>
      </c>
      <c r="J91" s="12">
        <f>70.53*15</f>
        <v>1057.95</v>
      </c>
    </row>
    <row r="92" spans="1:10" ht="165" x14ac:dyDescent="0.25">
      <c r="A92" s="4" t="s">
        <v>265</v>
      </c>
      <c r="B92" s="4">
        <v>15</v>
      </c>
      <c r="C92" s="4" t="s">
        <v>266</v>
      </c>
      <c r="D92" s="4" t="s">
        <v>267</v>
      </c>
      <c r="E92" s="2" t="s">
        <v>4</v>
      </c>
      <c r="F92" s="6">
        <v>66.900000000000006</v>
      </c>
      <c r="G92" s="6">
        <v>86.9</v>
      </c>
      <c r="H92" s="6">
        <v>71.709999999999994</v>
      </c>
      <c r="I92" s="9">
        <f t="shared" si="5"/>
        <v>75.17</v>
      </c>
      <c r="J92" s="12">
        <f>75.17*15</f>
        <v>1127.55</v>
      </c>
    </row>
    <row r="93" spans="1:10" ht="180" x14ac:dyDescent="0.25">
      <c r="A93" s="4" t="s">
        <v>268</v>
      </c>
      <c r="B93" s="4">
        <v>50</v>
      </c>
      <c r="C93" s="4" t="s">
        <v>269</v>
      </c>
      <c r="D93" s="4" t="s">
        <v>270</v>
      </c>
      <c r="E93" s="2" t="s">
        <v>4</v>
      </c>
      <c r="F93" s="6">
        <v>5.95</v>
      </c>
      <c r="G93" s="6">
        <v>6.45</v>
      </c>
      <c r="H93" s="6">
        <v>5.64</v>
      </c>
      <c r="I93" s="9">
        <f t="shared" si="5"/>
        <v>6.0133333333333328</v>
      </c>
      <c r="J93" s="12">
        <f>6.01*50</f>
        <v>300.5</v>
      </c>
    </row>
    <row r="94" spans="1:10" ht="120" x14ac:dyDescent="0.25">
      <c r="A94" s="4" t="s">
        <v>271</v>
      </c>
      <c r="B94" s="4">
        <v>30</v>
      </c>
      <c r="C94" s="4" t="s">
        <v>272</v>
      </c>
      <c r="D94" s="4" t="s">
        <v>273</v>
      </c>
      <c r="E94" s="2" t="s">
        <v>4</v>
      </c>
      <c r="F94" s="6">
        <v>16.5</v>
      </c>
      <c r="G94" s="6">
        <v>9.9</v>
      </c>
      <c r="H94" s="6">
        <v>9.39</v>
      </c>
      <c r="I94" s="9">
        <f t="shared" si="5"/>
        <v>11.93</v>
      </c>
      <c r="J94" s="12">
        <f>11.93*30</f>
        <v>357.9</v>
      </c>
    </row>
    <row r="95" spans="1:10" ht="150" x14ac:dyDescent="0.25">
      <c r="A95" s="4" t="s">
        <v>274</v>
      </c>
      <c r="B95" s="4">
        <v>40</v>
      </c>
      <c r="C95" s="4" t="s">
        <v>275</v>
      </c>
      <c r="D95" s="4" t="s">
        <v>276</v>
      </c>
      <c r="E95" s="2" t="s">
        <v>33</v>
      </c>
      <c r="F95" s="6">
        <v>42</v>
      </c>
      <c r="G95" s="6">
        <v>49.41</v>
      </c>
      <c r="H95" s="6">
        <v>36.33</v>
      </c>
      <c r="I95" s="9">
        <f t="shared" si="5"/>
        <v>42.58</v>
      </c>
      <c r="J95" s="12">
        <f>42.58*40</f>
        <v>1703.1999999999998</v>
      </c>
    </row>
    <row r="96" spans="1:10" ht="105" x14ac:dyDescent="0.25">
      <c r="A96" s="4" t="s">
        <v>277</v>
      </c>
      <c r="B96" s="4">
        <v>50</v>
      </c>
      <c r="C96" s="4" t="s">
        <v>278</v>
      </c>
      <c r="D96" s="4" t="s">
        <v>279</v>
      </c>
      <c r="E96" s="2" t="s">
        <v>4</v>
      </c>
      <c r="F96" s="6">
        <v>6.95</v>
      </c>
      <c r="G96" s="6"/>
      <c r="H96" s="6">
        <v>7.5</v>
      </c>
      <c r="I96" s="9">
        <f>(F96+H96)/2</f>
        <v>7.2249999999999996</v>
      </c>
      <c r="J96" s="12">
        <f>7.23*50</f>
        <v>361.5</v>
      </c>
    </row>
    <row r="97" spans="1:10" ht="105" x14ac:dyDescent="0.25">
      <c r="A97" s="4" t="s">
        <v>280</v>
      </c>
      <c r="B97" s="4">
        <v>15</v>
      </c>
      <c r="C97" s="4" t="s">
        <v>281</v>
      </c>
      <c r="D97" s="4" t="s">
        <v>282</v>
      </c>
      <c r="E97" s="2" t="s">
        <v>33</v>
      </c>
      <c r="F97" s="6">
        <v>192</v>
      </c>
      <c r="G97" s="6">
        <v>228.8</v>
      </c>
      <c r="H97" s="6">
        <v>123.9</v>
      </c>
      <c r="I97" s="9">
        <f t="shared" si="5"/>
        <v>181.56666666666669</v>
      </c>
      <c r="J97" s="12">
        <f>181.57*15</f>
        <v>2723.5499999999997</v>
      </c>
    </row>
    <row r="98" spans="1:10" ht="105" x14ac:dyDescent="0.25">
      <c r="A98" s="4" t="s">
        <v>283</v>
      </c>
      <c r="B98" s="4">
        <v>10</v>
      </c>
      <c r="C98" s="4" t="s">
        <v>284</v>
      </c>
      <c r="D98" s="4" t="s">
        <v>285</v>
      </c>
      <c r="E98" s="2" t="s">
        <v>33</v>
      </c>
      <c r="F98" s="6">
        <v>242</v>
      </c>
      <c r="G98" s="6">
        <v>275</v>
      </c>
      <c r="H98" s="6">
        <v>191.23</v>
      </c>
      <c r="I98" s="9">
        <f t="shared" si="5"/>
        <v>236.07666666666668</v>
      </c>
      <c r="J98" s="12">
        <f>236.08*10</f>
        <v>2360.8000000000002</v>
      </c>
    </row>
    <row r="99" spans="1:10" ht="120" x14ac:dyDescent="0.25">
      <c r="A99" s="4" t="s">
        <v>286</v>
      </c>
      <c r="B99" s="4">
        <v>5</v>
      </c>
      <c r="C99" s="4" t="s">
        <v>287</v>
      </c>
      <c r="D99" s="4" t="s">
        <v>288</v>
      </c>
      <c r="E99" s="2" t="s">
        <v>33</v>
      </c>
      <c r="F99" s="6">
        <v>59</v>
      </c>
      <c r="G99" s="6">
        <v>59.51</v>
      </c>
      <c r="H99" s="6">
        <v>53.89</v>
      </c>
      <c r="I99" s="9">
        <f t="shared" si="5"/>
        <v>57.466666666666661</v>
      </c>
      <c r="J99" s="12">
        <f>57.47*5</f>
        <v>287.35000000000002</v>
      </c>
    </row>
    <row r="100" spans="1:10" ht="120" x14ac:dyDescent="0.25">
      <c r="A100" s="4" t="s">
        <v>289</v>
      </c>
      <c r="B100" s="4">
        <v>5</v>
      </c>
      <c r="C100" s="4" t="s">
        <v>290</v>
      </c>
      <c r="D100" s="4" t="s">
        <v>291</v>
      </c>
      <c r="E100" s="2" t="s">
        <v>33</v>
      </c>
      <c r="F100" s="6">
        <v>59</v>
      </c>
      <c r="G100" s="6">
        <v>59.51</v>
      </c>
      <c r="H100" s="6">
        <v>54.17</v>
      </c>
      <c r="I100" s="9">
        <f t="shared" si="5"/>
        <v>57.56</v>
      </c>
      <c r="J100" s="12">
        <f>57.56*5</f>
        <v>287.8</v>
      </c>
    </row>
    <row r="101" spans="1:10" ht="135" x14ac:dyDescent="0.25">
      <c r="A101" s="4" t="s">
        <v>292</v>
      </c>
      <c r="B101" s="4">
        <v>65</v>
      </c>
      <c r="C101" s="4" t="s">
        <v>293</v>
      </c>
      <c r="D101" s="4" t="s">
        <v>294</v>
      </c>
      <c r="E101" s="2" t="s">
        <v>33</v>
      </c>
      <c r="F101" s="6">
        <v>59</v>
      </c>
      <c r="G101" s="6">
        <v>59.51</v>
      </c>
      <c r="H101" s="6">
        <v>55.42</v>
      </c>
      <c r="I101" s="9">
        <f t="shared" si="5"/>
        <v>57.976666666666667</v>
      </c>
      <c r="J101" s="12">
        <f>57.98*65</f>
        <v>3768.7</v>
      </c>
    </row>
    <row r="102" spans="1:10" ht="120" x14ac:dyDescent="0.25">
      <c r="A102" s="4" t="s">
        <v>295</v>
      </c>
      <c r="B102" s="4">
        <v>50</v>
      </c>
      <c r="C102" s="4" t="s">
        <v>296</v>
      </c>
      <c r="D102" s="4" t="s">
        <v>297</v>
      </c>
      <c r="E102" s="2" t="s">
        <v>33</v>
      </c>
      <c r="F102" s="6">
        <v>59</v>
      </c>
      <c r="G102" s="6">
        <v>59.51</v>
      </c>
      <c r="H102" s="6">
        <v>57.67</v>
      </c>
      <c r="I102" s="9">
        <f t="shared" si="5"/>
        <v>58.726666666666667</v>
      </c>
      <c r="J102" s="12">
        <f>58.73*50</f>
        <v>2936.5</v>
      </c>
    </row>
    <row r="103" spans="1:10" ht="135" x14ac:dyDescent="0.25">
      <c r="A103" s="4" t="s">
        <v>298</v>
      </c>
      <c r="B103" s="4">
        <v>60</v>
      </c>
      <c r="C103" s="4" t="s">
        <v>299</v>
      </c>
      <c r="D103" s="4" t="s">
        <v>300</v>
      </c>
      <c r="E103" s="2" t="s">
        <v>33</v>
      </c>
      <c r="F103" s="6">
        <v>59</v>
      </c>
      <c r="G103" s="6">
        <v>59.51</v>
      </c>
      <c r="H103" s="6">
        <v>55.42</v>
      </c>
      <c r="I103" s="9">
        <f t="shared" si="5"/>
        <v>57.976666666666667</v>
      </c>
      <c r="J103" s="12">
        <f>57.98*60</f>
        <v>3478.7999999999997</v>
      </c>
    </row>
    <row r="104" spans="1:10" ht="195" x14ac:dyDescent="0.25">
      <c r="A104" s="4" t="s">
        <v>301</v>
      </c>
      <c r="B104" s="4">
        <v>2</v>
      </c>
      <c r="C104" s="4" t="s">
        <v>302</v>
      </c>
      <c r="D104" s="4" t="s">
        <v>303</v>
      </c>
      <c r="E104" s="2" t="s">
        <v>33</v>
      </c>
      <c r="F104" s="6">
        <v>225</v>
      </c>
      <c r="G104" s="6">
        <v>0</v>
      </c>
      <c r="H104" s="6">
        <v>255.81</v>
      </c>
      <c r="I104" s="9">
        <f>(F104+H104)/2</f>
        <v>240.405</v>
      </c>
      <c r="J104" s="12">
        <f>240.41*2</f>
        <v>480.82</v>
      </c>
    </row>
    <row r="105" spans="1:10" ht="150" x14ac:dyDescent="0.25">
      <c r="A105" s="4" t="s">
        <v>304</v>
      </c>
      <c r="B105" s="4">
        <v>30</v>
      </c>
      <c r="C105" s="4" t="s">
        <v>305</v>
      </c>
      <c r="D105" s="4" t="s">
        <v>306</v>
      </c>
      <c r="E105" s="2" t="s">
        <v>4</v>
      </c>
      <c r="F105" s="6">
        <v>4.0999999999999996</v>
      </c>
      <c r="G105" s="6">
        <v>6.9</v>
      </c>
      <c r="H105" s="6">
        <v>3.18</v>
      </c>
      <c r="I105" s="9">
        <f t="shared" si="5"/>
        <v>4.7266666666666666</v>
      </c>
      <c r="J105" s="12">
        <f>4.73*30</f>
        <v>141.9</v>
      </c>
    </row>
    <row r="106" spans="1:10" ht="105" x14ac:dyDescent="0.25">
      <c r="A106" s="4" t="s">
        <v>307</v>
      </c>
      <c r="B106" s="4">
        <v>50</v>
      </c>
      <c r="C106" s="4" t="s">
        <v>308</v>
      </c>
      <c r="D106" s="4" t="s">
        <v>309</v>
      </c>
      <c r="E106" s="2" t="s">
        <v>4</v>
      </c>
      <c r="F106" s="6">
        <v>6.5</v>
      </c>
      <c r="G106" s="6">
        <v>9.15</v>
      </c>
      <c r="H106" s="6">
        <v>7</v>
      </c>
      <c r="I106" s="9">
        <f t="shared" si="5"/>
        <v>7.55</v>
      </c>
      <c r="J106" s="12">
        <f>7.55*50</f>
        <v>377.5</v>
      </c>
    </row>
    <row r="107" spans="1:10" ht="120" x14ac:dyDescent="0.25">
      <c r="A107" s="4" t="s">
        <v>310</v>
      </c>
      <c r="B107" s="4">
        <v>40</v>
      </c>
      <c r="C107" s="4" t="s">
        <v>311</v>
      </c>
      <c r="D107" s="4" t="s">
        <v>312</v>
      </c>
      <c r="E107" s="2" t="s">
        <v>4</v>
      </c>
      <c r="F107" s="6">
        <v>14.2</v>
      </c>
      <c r="G107" s="6">
        <v>18.149999999999999</v>
      </c>
      <c r="H107" s="6">
        <v>15.3</v>
      </c>
      <c r="I107" s="9">
        <f t="shared" si="5"/>
        <v>15.883333333333331</v>
      </c>
      <c r="J107" s="12">
        <f>15.88*40</f>
        <v>635.20000000000005</v>
      </c>
    </row>
    <row r="108" spans="1:10" ht="135" x14ac:dyDescent="0.25">
      <c r="A108" s="4" t="s">
        <v>313</v>
      </c>
      <c r="B108" s="4">
        <v>30</v>
      </c>
      <c r="C108" s="4" t="s">
        <v>314</v>
      </c>
      <c r="D108" s="4" t="s">
        <v>315</v>
      </c>
      <c r="E108" s="2" t="s">
        <v>4</v>
      </c>
      <c r="F108" s="6">
        <v>8.9499999999999993</v>
      </c>
      <c r="G108" s="6">
        <v>7.83</v>
      </c>
      <c r="H108" s="6">
        <v>6.2</v>
      </c>
      <c r="I108" s="9">
        <f t="shared" si="5"/>
        <v>7.66</v>
      </c>
      <c r="J108" s="12">
        <f>7.66*30</f>
        <v>229.8</v>
      </c>
    </row>
    <row r="109" spans="1:10" ht="135" x14ac:dyDescent="0.25">
      <c r="A109" s="4" t="s">
        <v>316</v>
      </c>
      <c r="B109" s="4">
        <v>100</v>
      </c>
      <c r="C109" s="4" t="s">
        <v>317</v>
      </c>
      <c r="D109" s="4" t="s">
        <v>318</v>
      </c>
      <c r="E109" s="2" t="s">
        <v>58</v>
      </c>
      <c r="F109" s="6">
        <v>17.899999999999999</v>
      </c>
      <c r="G109" s="6">
        <v>18.399999999999999</v>
      </c>
      <c r="H109" s="6"/>
      <c r="I109" s="9">
        <f>(F109+G109)/2</f>
        <v>18.149999999999999</v>
      </c>
      <c r="J109" s="12">
        <f>18.15*100</f>
        <v>1814.9999999999998</v>
      </c>
    </row>
    <row r="110" spans="1:10" ht="135" x14ac:dyDescent="0.25">
      <c r="A110" s="4" t="s">
        <v>319</v>
      </c>
      <c r="B110" s="4">
        <v>10</v>
      </c>
      <c r="C110" s="4" t="s">
        <v>320</v>
      </c>
      <c r="D110" s="4" t="s">
        <v>321</v>
      </c>
      <c r="E110" s="2" t="s">
        <v>4</v>
      </c>
      <c r="F110" s="6">
        <v>69.849999999999994</v>
      </c>
      <c r="G110" s="6"/>
      <c r="H110" s="6">
        <v>64.22</v>
      </c>
      <c r="I110" s="9">
        <f>(F110+H110)/2</f>
        <v>67.034999999999997</v>
      </c>
      <c r="J110" s="12">
        <f>67.04*10</f>
        <v>670.40000000000009</v>
      </c>
    </row>
    <row r="111" spans="1:10" ht="135" x14ac:dyDescent="0.25">
      <c r="A111" s="4" t="s">
        <v>322</v>
      </c>
      <c r="B111" s="4">
        <v>10</v>
      </c>
      <c r="C111" s="4" t="s">
        <v>323</v>
      </c>
      <c r="D111" s="4" t="s">
        <v>324</v>
      </c>
      <c r="E111" s="2" t="s">
        <v>4</v>
      </c>
      <c r="F111" s="6">
        <v>69.849999999999994</v>
      </c>
      <c r="G111" s="6"/>
      <c r="H111" s="6">
        <v>65.48</v>
      </c>
      <c r="I111" s="9">
        <f>(F111+H111)/2</f>
        <v>67.664999999999992</v>
      </c>
      <c r="J111" s="12">
        <f>67.67*10</f>
        <v>676.7</v>
      </c>
    </row>
    <row r="112" spans="1:10" ht="135" x14ac:dyDescent="0.25">
      <c r="A112" s="4" t="s">
        <v>325</v>
      </c>
      <c r="B112" s="4">
        <v>10</v>
      </c>
      <c r="C112" s="4" t="s">
        <v>326</v>
      </c>
      <c r="D112" s="4" t="s">
        <v>327</v>
      </c>
      <c r="E112" s="2" t="s">
        <v>4</v>
      </c>
      <c r="F112" s="6">
        <v>69.849999999999994</v>
      </c>
      <c r="G112" s="6"/>
      <c r="H112" s="6">
        <v>66.19</v>
      </c>
      <c r="I112" s="9">
        <f>(F112+H112)/2</f>
        <v>68.02</v>
      </c>
      <c r="J112" s="12">
        <f>68.02*10</f>
        <v>680.19999999999993</v>
      </c>
    </row>
    <row r="113" spans="1:10" ht="135" x14ac:dyDescent="0.25">
      <c r="A113" s="4" t="s">
        <v>328</v>
      </c>
      <c r="B113" s="4">
        <v>10</v>
      </c>
      <c r="C113" s="4" t="s">
        <v>329</v>
      </c>
      <c r="D113" s="4" t="s">
        <v>330</v>
      </c>
      <c r="E113" s="2" t="s">
        <v>4</v>
      </c>
      <c r="F113" s="6">
        <v>66.849999999999994</v>
      </c>
      <c r="G113" s="6"/>
      <c r="H113" s="6">
        <v>55.32</v>
      </c>
      <c r="I113" s="9">
        <f>(F113+H113)/2</f>
        <v>61.084999999999994</v>
      </c>
      <c r="J113" s="12">
        <f>61.09*10</f>
        <v>610.90000000000009</v>
      </c>
    </row>
    <row r="114" spans="1:10" ht="135" x14ac:dyDescent="0.25">
      <c r="A114" s="4" t="s">
        <v>331</v>
      </c>
      <c r="B114" s="4">
        <v>10</v>
      </c>
      <c r="C114" s="4" t="s">
        <v>332</v>
      </c>
      <c r="D114" s="4" t="s">
        <v>333</v>
      </c>
      <c r="E114" s="2" t="s">
        <v>4</v>
      </c>
      <c r="F114" s="6">
        <v>66.849999999999994</v>
      </c>
      <c r="G114" s="6">
        <v>110.33</v>
      </c>
      <c r="H114" s="6">
        <v>73.84</v>
      </c>
      <c r="I114" s="9">
        <f t="shared" si="5"/>
        <v>83.673333333333332</v>
      </c>
      <c r="J114" s="12">
        <f>83.67*10</f>
        <v>836.7</v>
      </c>
    </row>
    <row r="115" spans="1:10" ht="150" x14ac:dyDescent="0.25">
      <c r="A115" s="4" t="s">
        <v>334</v>
      </c>
      <c r="B115" s="4">
        <v>150</v>
      </c>
      <c r="C115" s="4" t="s">
        <v>335</v>
      </c>
      <c r="D115" s="4" t="s">
        <v>336</v>
      </c>
      <c r="E115" s="2" t="s">
        <v>65</v>
      </c>
      <c r="F115" s="6">
        <v>52</v>
      </c>
      <c r="G115" s="6">
        <v>40.700000000000003</v>
      </c>
      <c r="H115" s="6">
        <v>40.549999999999997</v>
      </c>
      <c r="I115" s="9">
        <f t="shared" si="5"/>
        <v>44.416666666666664</v>
      </c>
      <c r="J115" s="12">
        <f>44.42*150</f>
        <v>6663</v>
      </c>
    </row>
    <row r="116" spans="1:10" ht="135" x14ac:dyDescent="0.25">
      <c r="A116" s="4" t="s">
        <v>337</v>
      </c>
      <c r="B116" s="4">
        <v>60</v>
      </c>
      <c r="C116" s="4" t="s">
        <v>338</v>
      </c>
      <c r="D116" s="4" t="s">
        <v>339</v>
      </c>
      <c r="E116" s="2" t="s">
        <v>65</v>
      </c>
      <c r="F116" s="6">
        <v>13.25</v>
      </c>
      <c r="G116" s="6">
        <v>11.17</v>
      </c>
      <c r="H116" s="6"/>
      <c r="I116" s="9">
        <f>(F116+G116)/2</f>
        <v>12.21</v>
      </c>
      <c r="J116" s="12">
        <f>12.21*60</f>
        <v>732.6</v>
      </c>
    </row>
    <row r="117" spans="1:10" ht="120" x14ac:dyDescent="0.25">
      <c r="A117" s="4" t="s">
        <v>340</v>
      </c>
      <c r="B117" s="4">
        <v>20</v>
      </c>
      <c r="C117" s="4" t="s">
        <v>341</v>
      </c>
      <c r="D117" s="4" t="s">
        <v>342</v>
      </c>
      <c r="E117" s="2" t="s">
        <v>65</v>
      </c>
      <c r="F117" s="6">
        <v>16.8</v>
      </c>
      <c r="G117" s="6">
        <v>0</v>
      </c>
      <c r="H117" s="6">
        <v>6.18</v>
      </c>
      <c r="I117" s="9">
        <f>(F117+H117)/2</f>
        <v>11.49</v>
      </c>
      <c r="J117" s="12">
        <f>11.49*20</f>
        <v>229.8</v>
      </c>
    </row>
    <row r="118" spans="1:10" ht="135" x14ac:dyDescent="0.25">
      <c r="A118" s="4" t="s">
        <v>343</v>
      </c>
      <c r="B118" s="4">
        <v>2</v>
      </c>
      <c r="C118" s="4" t="s">
        <v>344</v>
      </c>
      <c r="D118" s="4" t="s">
        <v>345</v>
      </c>
      <c r="E118" s="2" t="s">
        <v>4</v>
      </c>
      <c r="F118" s="6">
        <v>26</v>
      </c>
      <c r="G118" s="6">
        <v>21.78</v>
      </c>
      <c r="H118" s="6">
        <v>15.25</v>
      </c>
      <c r="I118" s="9">
        <f t="shared" si="5"/>
        <v>21.01</v>
      </c>
      <c r="J118" s="12">
        <f>21.01*2</f>
        <v>42.02</v>
      </c>
    </row>
    <row r="119" spans="1:10" ht="135" x14ac:dyDescent="0.25">
      <c r="A119" s="4" t="s">
        <v>346</v>
      </c>
      <c r="B119" s="4">
        <v>2</v>
      </c>
      <c r="C119" s="4" t="s">
        <v>347</v>
      </c>
      <c r="D119" s="4" t="s">
        <v>348</v>
      </c>
      <c r="E119" s="2" t="s">
        <v>4</v>
      </c>
      <c r="F119" s="6">
        <v>26</v>
      </c>
      <c r="G119" s="6">
        <v>21.78</v>
      </c>
      <c r="H119" s="6">
        <v>20.95</v>
      </c>
      <c r="I119" s="9">
        <f t="shared" si="5"/>
        <v>22.91</v>
      </c>
      <c r="J119" s="12">
        <f>22.91*2</f>
        <v>45.82</v>
      </c>
    </row>
    <row r="120" spans="1:10" ht="135" x14ac:dyDescent="0.25">
      <c r="A120" s="4" t="s">
        <v>349</v>
      </c>
      <c r="B120" s="4">
        <v>2</v>
      </c>
      <c r="C120" s="4" t="s">
        <v>350</v>
      </c>
      <c r="D120" s="4" t="s">
        <v>351</v>
      </c>
      <c r="E120" s="2" t="s">
        <v>4</v>
      </c>
      <c r="F120" s="6">
        <v>26</v>
      </c>
      <c r="G120" s="6">
        <v>21.78</v>
      </c>
      <c r="H120" s="6">
        <v>20.49</v>
      </c>
      <c r="I120" s="9">
        <f t="shared" si="5"/>
        <v>22.756666666666664</v>
      </c>
      <c r="J120" s="12">
        <f>22.76*2</f>
        <v>45.52</v>
      </c>
    </row>
    <row r="121" spans="1:10" ht="135" x14ac:dyDescent="0.25">
      <c r="A121" s="4" t="s">
        <v>352</v>
      </c>
      <c r="B121" s="4">
        <v>2</v>
      </c>
      <c r="C121" s="4" t="s">
        <v>353</v>
      </c>
      <c r="D121" s="4" t="s">
        <v>354</v>
      </c>
      <c r="E121" s="2" t="s">
        <v>4</v>
      </c>
      <c r="F121" s="6">
        <v>26</v>
      </c>
      <c r="G121" s="6">
        <v>21.78</v>
      </c>
      <c r="H121" s="6">
        <v>24.6</v>
      </c>
      <c r="I121" s="9">
        <f t="shared" si="5"/>
        <v>24.126666666666665</v>
      </c>
      <c r="J121" s="12">
        <f>24.13*2</f>
        <v>48.26</v>
      </c>
    </row>
    <row r="122" spans="1:10" ht="135" x14ac:dyDescent="0.25">
      <c r="A122" s="4" t="s">
        <v>355</v>
      </c>
      <c r="B122" s="4">
        <v>2</v>
      </c>
      <c r="C122" s="4" t="s">
        <v>356</v>
      </c>
      <c r="D122" s="4" t="s">
        <v>357</v>
      </c>
      <c r="E122" s="2" t="s">
        <v>4</v>
      </c>
      <c r="F122" s="6">
        <v>26</v>
      </c>
      <c r="G122" s="6">
        <v>21.78</v>
      </c>
      <c r="H122" s="6">
        <v>23.3</v>
      </c>
      <c r="I122" s="9">
        <f t="shared" si="5"/>
        <v>23.693333333333332</v>
      </c>
      <c r="J122" s="12">
        <f>23.69*2</f>
        <v>47.38</v>
      </c>
    </row>
    <row r="123" spans="1:10" ht="105" x14ac:dyDescent="0.25">
      <c r="A123" s="4" t="s">
        <v>358</v>
      </c>
      <c r="B123" s="4">
        <v>20</v>
      </c>
      <c r="C123" s="4" t="s">
        <v>359</v>
      </c>
      <c r="D123" s="4" t="s">
        <v>360</v>
      </c>
      <c r="E123" s="2" t="s">
        <v>4</v>
      </c>
      <c r="F123" s="6">
        <v>6.1</v>
      </c>
      <c r="G123" s="6">
        <v>6.51</v>
      </c>
      <c r="H123" s="6">
        <v>5.03</v>
      </c>
      <c r="I123" s="9">
        <f t="shared" si="5"/>
        <v>5.88</v>
      </c>
      <c r="J123" s="12">
        <f>5.88*20</f>
        <v>117.6</v>
      </c>
    </row>
    <row r="124" spans="1:10" ht="180" x14ac:dyDescent="0.25">
      <c r="A124" s="4" t="s">
        <v>361</v>
      </c>
      <c r="B124" s="4">
        <v>20</v>
      </c>
      <c r="C124" s="4" t="s">
        <v>362</v>
      </c>
      <c r="D124" s="4" t="s">
        <v>363</v>
      </c>
      <c r="E124" s="2" t="s">
        <v>198</v>
      </c>
      <c r="F124" s="6">
        <v>48</v>
      </c>
      <c r="G124" s="6">
        <v>41.58</v>
      </c>
      <c r="H124" s="6"/>
      <c r="I124" s="9">
        <f>(F124+G124)/2</f>
        <v>44.79</v>
      </c>
      <c r="J124" s="12">
        <f>44.79*20</f>
        <v>895.8</v>
      </c>
    </row>
    <row r="125" spans="1:10" ht="165" x14ac:dyDescent="0.25">
      <c r="A125" s="4" t="s">
        <v>364</v>
      </c>
      <c r="B125" s="4">
        <v>20</v>
      </c>
      <c r="C125" s="4" t="s">
        <v>365</v>
      </c>
      <c r="D125" s="4" t="s">
        <v>366</v>
      </c>
      <c r="E125" s="2" t="s">
        <v>198</v>
      </c>
      <c r="F125" s="6">
        <v>32</v>
      </c>
      <c r="G125" s="6">
        <v>0</v>
      </c>
      <c r="H125" s="6">
        <v>15.39</v>
      </c>
      <c r="I125" s="9">
        <f>(F125+H125)/2</f>
        <v>23.695</v>
      </c>
      <c r="J125" s="12">
        <f>23.7*20</f>
        <v>474</v>
      </c>
    </row>
    <row r="126" spans="1:10" ht="150" x14ac:dyDescent="0.25">
      <c r="A126" s="4" t="s">
        <v>367</v>
      </c>
      <c r="B126" s="4">
        <v>70</v>
      </c>
      <c r="C126" s="4" t="s">
        <v>368</v>
      </c>
      <c r="D126" s="4" t="s">
        <v>369</v>
      </c>
      <c r="E126" s="2" t="s">
        <v>198</v>
      </c>
      <c r="F126" s="6">
        <v>26.9</v>
      </c>
      <c r="G126" s="6">
        <v>0</v>
      </c>
      <c r="H126" s="6">
        <v>17.059999999999999</v>
      </c>
      <c r="I126" s="9">
        <f>(F126+H126)/2</f>
        <v>21.979999999999997</v>
      </c>
      <c r="J126" s="12">
        <f>21.98*70</f>
        <v>1538.6000000000001</v>
      </c>
    </row>
    <row r="127" spans="1:10" ht="90" x14ac:dyDescent="0.25">
      <c r="A127" s="4" t="s">
        <v>370</v>
      </c>
      <c r="B127" s="4">
        <v>10</v>
      </c>
      <c r="C127" s="4" t="s">
        <v>371</v>
      </c>
      <c r="D127" s="4" t="s">
        <v>372</v>
      </c>
      <c r="E127" s="2" t="s">
        <v>33</v>
      </c>
      <c r="F127" s="6">
        <v>39</v>
      </c>
      <c r="G127" s="6">
        <v>52.8</v>
      </c>
      <c r="H127" s="6">
        <v>35.36</v>
      </c>
      <c r="I127" s="9">
        <f t="shared" si="5"/>
        <v>42.386666666666663</v>
      </c>
      <c r="J127" s="12">
        <f>42.39*10</f>
        <v>423.9</v>
      </c>
    </row>
    <row r="128" spans="1:10" ht="90" x14ac:dyDescent="0.25">
      <c r="A128" s="4" t="s">
        <v>373</v>
      </c>
      <c r="B128" s="4">
        <v>10</v>
      </c>
      <c r="C128" s="4" t="s">
        <v>374</v>
      </c>
      <c r="D128" s="4" t="s">
        <v>375</v>
      </c>
      <c r="E128" s="2" t="s">
        <v>33</v>
      </c>
      <c r="F128" s="6">
        <v>39</v>
      </c>
      <c r="G128" s="6">
        <v>52.8</v>
      </c>
      <c r="H128" s="6">
        <v>35.36</v>
      </c>
      <c r="I128" s="9">
        <f t="shared" si="5"/>
        <v>42.386666666666663</v>
      </c>
      <c r="J128" s="12">
        <f>42.39*10</f>
        <v>423.9</v>
      </c>
    </row>
    <row r="129" spans="1:10" ht="135" x14ac:dyDescent="0.25">
      <c r="A129" s="4" t="s">
        <v>376</v>
      </c>
      <c r="B129" s="4">
        <v>30</v>
      </c>
      <c r="C129" s="4" t="s">
        <v>377</v>
      </c>
      <c r="D129" s="4" t="s">
        <v>378</v>
      </c>
      <c r="E129" s="2" t="s">
        <v>33</v>
      </c>
      <c r="F129" s="6">
        <v>32</v>
      </c>
      <c r="G129" s="6">
        <v>29.6</v>
      </c>
      <c r="H129" s="6">
        <v>28.14</v>
      </c>
      <c r="I129" s="9">
        <f t="shared" si="5"/>
        <v>29.913333333333338</v>
      </c>
      <c r="J129" s="12">
        <f>29.91*30</f>
        <v>897.3</v>
      </c>
    </row>
    <row r="130" spans="1:10" ht="150" x14ac:dyDescent="0.25">
      <c r="A130" s="4" t="s">
        <v>379</v>
      </c>
      <c r="B130" s="4">
        <v>8</v>
      </c>
      <c r="C130" s="4" t="s">
        <v>380</v>
      </c>
      <c r="D130" s="4" t="s">
        <v>381</v>
      </c>
      <c r="E130" s="2" t="s">
        <v>33</v>
      </c>
      <c r="F130" s="6">
        <v>54</v>
      </c>
      <c r="G130" s="6">
        <v>69.2</v>
      </c>
      <c r="H130" s="6">
        <v>50</v>
      </c>
      <c r="I130" s="9">
        <f t="shared" si="5"/>
        <v>57.733333333333327</v>
      </c>
      <c r="J130" s="12">
        <f>57.73*8</f>
        <v>461.84</v>
      </c>
    </row>
    <row r="131" spans="1:10" ht="165" x14ac:dyDescent="0.25">
      <c r="A131" s="4" t="s">
        <v>382</v>
      </c>
      <c r="B131" s="4">
        <v>3</v>
      </c>
      <c r="C131" s="4" t="s">
        <v>383</v>
      </c>
      <c r="D131" s="4" t="s">
        <v>384</v>
      </c>
      <c r="E131" s="2" t="s">
        <v>33</v>
      </c>
      <c r="F131" s="6">
        <v>54</v>
      </c>
      <c r="G131" s="6">
        <v>69.2</v>
      </c>
      <c r="H131" s="6">
        <v>45</v>
      </c>
      <c r="I131" s="9">
        <f t="shared" si="5"/>
        <v>56.066666666666663</v>
      </c>
      <c r="J131" s="12">
        <f>56.07*3</f>
        <v>168.21</v>
      </c>
    </row>
    <row r="132" spans="1:10" ht="165" x14ac:dyDescent="0.25">
      <c r="A132" s="4" t="s">
        <v>385</v>
      </c>
      <c r="B132" s="4">
        <v>10</v>
      </c>
      <c r="C132" s="4" t="s">
        <v>386</v>
      </c>
      <c r="D132" s="4" t="s">
        <v>387</v>
      </c>
      <c r="E132" s="2" t="s">
        <v>33</v>
      </c>
      <c r="F132" s="6">
        <v>54</v>
      </c>
      <c r="G132" s="6">
        <v>69.2</v>
      </c>
      <c r="H132" s="6">
        <v>36.03</v>
      </c>
      <c r="I132" s="9">
        <f t="shared" si="5"/>
        <v>53.076666666666675</v>
      </c>
      <c r="J132" s="12">
        <f>53.08*10</f>
        <v>530.79999999999995</v>
      </c>
    </row>
    <row r="133" spans="1:10" ht="165" x14ac:dyDescent="0.25">
      <c r="A133" s="4" t="s">
        <v>388</v>
      </c>
      <c r="B133" s="4">
        <v>10</v>
      </c>
      <c r="C133" s="4" t="s">
        <v>389</v>
      </c>
      <c r="D133" s="4" t="s">
        <v>390</v>
      </c>
      <c r="E133" s="2" t="s">
        <v>33</v>
      </c>
      <c r="F133" s="6">
        <v>54</v>
      </c>
      <c r="G133" s="6">
        <v>69.2</v>
      </c>
      <c r="H133" s="6">
        <v>36.03</v>
      </c>
      <c r="I133" s="9">
        <f t="shared" ref="I133:I196" si="7">(F133+G133+H133)/3</f>
        <v>53.076666666666675</v>
      </c>
      <c r="J133" s="12">
        <f>53.08*10</f>
        <v>530.79999999999995</v>
      </c>
    </row>
    <row r="134" spans="1:10" ht="120" x14ac:dyDescent="0.25">
      <c r="A134" s="4" t="s">
        <v>391</v>
      </c>
      <c r="B134" s="4">
        <v>300</v>
      </c>
      <c r="C134" s="4" t="s">
        <v>392</v>
      </c>
      <c r="D134" s="4" t="s">
        <v>393</v>
      </c>
      <c r="E134" s="2" t="s">
        <v>33</v>
      </c>
      <c r="F134" s="6">
        <v>28.9</v>
      </c>
      <c r="G134" s="6">
        <v>41.8</v>
      </c>
      <c r="H134" s="6">
        <v>25.7</v>
      </c>
      <c r="I134" s="9">
        <f t="shared" si="7"/>
        <v>32.133333333333333</v>
      </c>
      <c r="J134" s="12">
        <f>32.13*300</f>
        <v>9639</v>
      </c>
    </row>
    <row r="135" spans="1:10" ht="120" x14ac:dyDescent="0.25">
      <c r="A135" s="4" t="s">
        <v>394</v>
      </c>
      <c r="B135" s="4">
        <v>300</v>
      </c>
      <c r="C135" s="4" t="s">
        <v>395</v>
      </c>
      <c r="D135" s="4" t="s">
        <v>396</v>
      </c>
      <c r="E135" s="2" t="s">
        <v>33</v>
      </c>
      <c r="F135" s="6">
        <v>28.9</v>
      </c>
      <c r="G135" s="6">
        <v>41.8</v>
      </c>
      <c r="H135" s="6">
        <v>22</v>
      </c>
      <c r="I135" s="9">
        <f t="shared" si="7"/>
        <v>30.899999999999995</v>
      </c>
      <c r="J135" s="12">
        <f>30.9*300</f>
        <v>9270</v>
      </c>
    </row>
    <row r="136" spans="1:10" ht="120" x14ac:dyDescent="0.25">
      <c r="A136" s="4" t="s">
        <v>397</v>
      </c>
      <c r="B136" s="4">
        <v>300</v>
      </c>
      <c r="C136" s="4" t="s">
        <v>398</v>
      </c>
      <c r="D136" s="4" t="s">
        <v>399</v>
      </c>
      <c r="E136" s="2" t="s">
        <v>33</v>
      </c>
      <c r="F136" s="6">
        <v>28.9</v>
      </c>
      <c r="G136" s="6">
        <v>41.8</v>
      </c>
      <c r="H136" s="6">
        <v>22</v>
      </c>
      <c r="I136" s="9">
        <f t="shared" si="7"/>
        <v>30.899999999999995</v>
      </c>
      <c r="J136" s="12">
        <f>30.9*300</f>
        <v>9270</v>
      </c>
    </row>
    <row r="137" spans="1:10" ht="105" x14ac:dyDescent="0.25">
      <c r="A137" s="4" t="s">
        <v>400</v>
      </c>
      <c r="B137" s="4">
        <v>150</v>
      </c>
      <c r="C137" s="4" t="s">
        <v>401</v>
      </c>
      <c r="D137" s="4" t="s">
        <v>402</v>
      </c>
      <c r="E137" s="2" t="s">
        <v>33</v>
      </c>
      <c r="F137" s="6">
        <v>28.9</v>
      </c>
      <c r="G137" s="6">
        <v>41.8</v>
      </c>
      <c r="H137" s="6">
        <v>22</v>
      </c>
      <c r="I137" s="9">
        <f t="shared" si="7"/>
        <v>30.899999999999995</v>
      </c>
      <c r="J137" s="12">
        <f>30.9*150</f>
        <v>4635</v>
      </c>
    </row>
    <row r="138" spans="1:10" x14ac:dyDescent="0.25">
      <c r="A138" s="4"/>
      <c r="B138" s="4"/>
      <c r="C138" s="4"/>
      <c r="D138" s="4"/>
      <c r="E138" s="2"/>
      <c r="F138" s="6"/>
      <c r="G138" s="6"/>
      <c r="H138" s="6"/>
      <c r="I138" s="9">
        <f t="shared" si="7"/>
        <v>0</v>
      </c>
      <c r="J138" s="12"/>
    </row>
    <row r="139" spans="1:10" ht="105" x14ac:dyDescent="0.25">
      <c r="A139" s="4" t="s">
        <v>403</v>
      </c>
      <c r="B139" s="4">
        <v>300</v>
      </c>
      <c r="C139" s="4" t="s">
        <v>392</v>
      </c>
      <c r="D139" s="4" t="s">
        <v>404</v>
      </c>
      <c r="E139" s="2" t="s">
        <v>33</v>
      </c>
      <c r="F139" s="6">
        <v>26.5</v>
      </c>
      <c r="G139" s="6">
        <v>30.58</v>
      </c>
      <c r="H139" s="6">
        <v>22.92</v>
      </c>
      <c r="I139" s="9">
        <f t="shared" si="7"/>
        <v>26.666666666666668</v>
      </c>
      <c r="J139" s="12">
        <f>26.67*300</f>
        <v>8001.0000000000009</v>
      </c>
    </row>
    <row r="140" spans="1:10" ht="105" x14ac:dyDescent="0.25">
      <c r="A140" s="4" t="s">
        <v>405</v>
      </c>
      <c r="B140" s="4">
        <v>300</v>
      </c>
      <c r="C140" s="4" t="s">
        <v>395</v>
      </c>
      <c r="D140" s="4" t="s">
        <v>406</v>
      </c>
      <c r="E140" s="2" t="s">
        <v>33</v>
      </c>
      <c r="F140" s="6">
        <v>26.5</v>
      </c>
      <c r="G140" s="6">
        <v>30.58</v>
      </c>
      <c r="H140" s="6">
        <v>22.71</v>
      </c>
      <c r="I140" s="9">
        <f t="shared" si="7"/>
        <v>26.596666666666664</v>
      </c>
      <c r="J140" s="12">
        <f>26.6*300</f>
        <v>7980</v>
      </c>
    </row>
    <row r="141" spans="1:10" ht="105" x14ac:dyDescent="0.25">
      <c r="A141" s="4" t="s">
        <v>407</v>
      </c>
      <c r="B141" s="4">
        <v>300</v>
      </c>
      <c r="C141" s="4" t="s">
        <v>398</v>
      </c>
      <c r="D141" s="4" t="s">
        <v>408</v>
      </c>
      <c r="E141" s="2" t="s">
        <v>33</v>
      </c>
      <c r="F141" s="6">
        <v>26.5</v>
      </c>
      <c r="G141" s="6">
        <v>30.58</v>
      </c>
      <c r="H141" s="6">
        <v>24.99</v>
      </c>
      <c r="I141" s="9">
        <f t="shared" si="7"/>
        <v>27.356666666666666</v>
      </c>
      <c r="J141" s="12">
        <f>27.36*300</f>
        <v>8208</v>
      </c>
    </row>
    <row r="142" spans="1:10" ht="105" x14ac:dyDescent="0.25">
      <c r="A142" s="4" t="s">
        <v>409</v>
      </c>
      <c r="B142" s="4">
        <v>150</v>
      </c>
      <c r="C142" s="4" t="s">
        <v>401</v>
      </c>
      <c r="D142" s="4" t="s">
        <v>410</v>
      </c>
      <c r="E142" s="2" t="s">
        <v>33</v>
      </c>
      <c r="F142" s="6">
        <v>26.5</v>
      </c>
      <c r="G142" s="6">
        <v>30.58</v>
      </c>
      <c r="H142" s="6">
        <v>23</v>
      </c>
      <c r="I142" s="9">
        <f t="shared" si="7"/>
        <v>26.693333333333332</v>
      </c>
      <c r="J142" s="12">
        <f>26.69*150</f>
        <v>4003.5</v>
      </c>
    </row>
    <row r="143" spans="1:10" ht="120" x14ac:dyDescent="0.25">
      <c r="A143" s="4" t="s">
        <v>411</v>
      </c>
      <c r="B143" s="4">
        <v>300</v>
      </c>
      <c r="C143" s="4" t="s">
        <v>412</v>
      </c>
      <c r="D143" s="4" t="s">
        <v>413</v>
      </c>
      <c r="E143" s="2" t="s">
        <v>414</v>
      </c>
      <c r="F143" s="6">
        <v>2.9</v>
      </c>
      <c r="G143" s="6">
        <v>2.2000000000000002</v>
      </c>
      <c r="H143" s="6">
        <v>2.33</v>
      </c>
      <c r="I143" s="9">
        <f t="shared" si="7"/>
        <v>2.4766666666666666</v>
      </c>
      <c r="J143" s="12">
        <f>2.48*300</f>
        <v>744</v>
      </c>
    </row>
    <row r="144" spans="1:10" ht="120" x14ac:dyDescent="0.25">
      <c r="A144" s="4" t="s">
        <v>415</v>
      </c>
      <c r="B144" s="4">
        <v>300</v>
      </c>
      <c r="C144" s="4" t="s">
        <v>416</v>
      </c>
      <c r="D144" s="4" t="s">
        <v>417</v>
      </c>
      <c r="E144" s="2" t="s">
        <v>414</v>
      </c>
      <c r="F144" s="6">
        <v>2.9</v>
      </c>
      <c r="G144" s="6">
        <v>2.2000000000000002</v>
      </c>
      <c r="H144" s="6">
        <v>2.09</v>
      </c>
      <c r="I144" s="9">
        <f t="shared" si="7"/>
        <v>2.3966666666666665</v>
      </c>
      <c r="J144" s="12">
        <f>2.4*300</f>
        <v>720</v>
      </c>
    </row>
    <row r="145" spans="1:10" ht="120" x14ac:dyDescent="0.25">
      <c r="A145" s="4" t="s">
        <v>418</v>
      </c>
      <c r="B145" s="4">
        <v>300</v>
      </c>
      <c r="C145" s="4" t="s">
        <v>419</v>
      </c>
      <c r="D145" s="4" t="s">
        <v>420</v>
      </c>
      <c r="E145" s="2" t="s">
        <v>414</v>
      </c>
      <c r="F145" s="6">
        <v>2.9</v>
      </c>
      <c r="G145" s="6">
        <v>2.2000000000000002</v>
      </c>
      <c r="H145" s="6">
        <v>2.86</v>
      </c>
      <c r="I145" s="9">
        <f t="shared" si="7"/>
        <v>2.6533333333333329</v>
      </c>
      <c r="J145" s="12">
        <f>2.65*300</f>
        <v>795</v>
      </c>
    </row>
    <row r="146" spans="1:10" ht="120" x14ac:dyDescent="0.25">
      <c r="A146" s="4" t="s">
        <v>421</v>
      </c>
      <c r="B146" s="4">
        <v>100</v>
      </c>
      <c r="C146" s="4" t="s">
        <v>422</v>
      </c>
      <c r="D146" s="4" t="s">
        <v>423</v>
      </c>
      <c r="E146" s="2" t="s">
        <v>414</v>
      </c>
      <c r="F146" s="6">
        <v>2.9</v>
      </c>
      <c r="G146" s="6">
        <v>2.2000000000000002</v>
      </c>
      <c r="H146" s="6">
        <v>1.67</v>
      </c>
      <c r="I146" s="9">
        <f t="shared" si="7"/>
        <v>2.2566666666666664</v>
      </c>
      <c r="J146" s="12">
        <f>2.26*100</f>
        <v>225.99999999999997</v>
      </c>
    </row>
    <row r="147" spans="1:10" ht="165" x14ac:dyDescent="0.25">
      <c r="A147" s="4" t="s">
        <v>424</v>
      </c>
      <c r="B147" s="4">
        <v>120</v>
      </c>
      <c r="C147" s="4" t="s">
        <v>425</v>
      </c>
      <c r="D147" s="4" t="s">
        <v>426</v>
      </c>
      <c r="E147" s="2" t="s">
        <v>33</v>
      </c>
      <c r="F147" s="6">
        <v>12.5</v>
      </c>
      <c r="G147" s="6"/>
      <c r="H147" s="6">
        <v>10.18</v>
      </c>
      <c r="I147" s="9">
        <f>(F147+H147)/2</f>
        <v>11.34</v>
      </c>
      <c r="J147" s="12">
        <f>11.34*120</f>
        <v>1360.8</v>
      </c>
    </row>
    <row r="148" spans="1:10" ht="120" x14ac:dyDescent="0.25">
      <c r="A148" s="4" t="s">
        <v>427</v>
      </c>
      <c r="B148" s="4">
        <v>20</v>
      </c>
      <c r="C148" s="4" t="s">
        <v>428</v>
      </c>
      <c r="D148" s="4" t="s">
        <v>429</v>
      </c>
      <c r="E148" s="2" t="s">
        <v>4</v>
      </c>
      <c r="F148" s="6">
        <v>2.9</v>
      </c>
      <c r="G148" s="6">
        <v>2.38</v>
      </c>
      <c r="H148" s="6">
        <v>2.2000000000000002</v>
      </c>
      <c r="I148" s="9">
        <f t="shared" si="7"/>
        <v>2.4933333333333332</v>
      </c>
      <c r="J148" s="12">
        <f>2.49*20</f>
        <v>49.800000000000004</v>
      </c>
    </row>
    <row r="149" spans="1:10" ht="120" x14ac:dyDescent="0.25">
      <c r="A149" s="4" t="s">
        <v>430</v>
      </c>
      <c r="B149" s="4">
        <v>20</v>
      </c>
      <c r="C149" s="4" t="s">
        <v>431</v>
      </c>
      <c r="D149" s="4" t="s">
        <v>432</v>
      </c>
      <c r="E149" s="2" t="s">
        <v>4</v>
      </c>
      <c r="F149" s="6">
        <v>2.9</v>
      </c>
      <c r="G149" s="6">
        <v>2.38</v>
      </c>
      <c r="H149" s="6">
        <v>2.5</v>
      </c>
      <c r="I149" s="9">
        <f t="shared" si="7"/>
        <v>2.5933333333333333</v>
      </c>
      <c r="J149" s="12">
        <f>2.59*20</f>
        <v>51.8</v>
      </c>
    </row>
    <row r="150" spans="1:10" ht="165" x14ac:dyDescent="0.25">
      <c r="A150" s="4" t="s">
        <v>433</v>
      </c>
      <c r="B150" s="4">
        <v>5</v>
      </c>
      <c r="C150" s="4" t="s">
        <v>434</v>
      </c>
      <c r="D150" s="4" t="s">
        <v>435</v>
      </c>
      <c r="E150" s="2" t="s">
        <v>414</v>
      </c>
      <c r="F150" s="6">
        <v>26.5</v>
      </c>
      <c r="G150" s="6"/>
      <c r="H150" s="6">
        <v>25.5</v>
      </c>
      <c r="I150" s="9">
        <f>(F150+H150)/2</f>
        <v>26</v>
      </c>
      <c r="J150" s="12">
        <f>26*5</f>
        <v>130</v>
      </c>
    </row>
    <row r="151" spans="1:10" ht="165" x14ac:dyDescent="0.25">
      <c r="A151" s="4" t="s">
        <v>436</v>
      </c>
      <c r="B151" s="4">
        <v>5</v>
      </c>
      <c r="C151" s="4" t="s">
        <v>437</v>
      </c>
      <c r="D151" s="4" t="s">
        <v>438</v>
      </c>
      <c r="E151" s="2" t="s">
        <v>414</v>
      </c>
      <c r="F151" s="6">
        <v>26.5</v>
      </c>
      <c r="G151" s="6"/>
      <c r="H151" s="6">
        <v>24.21</v>
      </c>
      <c r="I151" s="9">
        <f>(F151+H151)/2</f>
        <v>25.355</v>
      </c>
      <c r="J151" s="12">
        <f>25.36*5</f>
        <v>126.8</v>
      </c>
    </row>
    <row r="152" spans="1:10" ht="135" x14ac:dyDescent="0.25">
      <c r="A152" s="4" t="s">
        <v>439</v>
      </c>
      <c r="B152" s="4">
        <v>10</v>
      </c>
      <c r="C152" s="4" t="s">
        <v>440</v>
      </c>
      <c r="D152" s="4" t="s">
        <v>441</v>
      </c>
      <c r="E152" s="2" t="s">
        <v>4</v>
      </c>
      <c r="F152" s="6">
        <v>32</v>
      </c>
      <c r="G152" s="6">
        <v>41.47</v>
      </c>
      <c r="H152" s="6">
        <v>30.68</v>
      </c>
      <c r="I152" s="9">
        <f t="shared" si="7"/>
        <v>34.716666666666669</v>
      </c>
      <c r="J152" s="12">
        <f>34.72*10</f>
        <v>347.2</v>
      </c>
    </row>
    <row r="153" spans="1:10" ht="105" x14ac:dyDescent="0.25">
      <c r="A153" s="4" t="s">
        <v>442</v>
      </c>
      <c r="B153" s="4">
        <v>30</v>
      </c>
      <c r="C153" s="4" t="s">
        <v>443</v>
      </c>
      <c r="D153" s="4" t="s">
        <v>444</v>
      </c>
      <c r="E153" s="2" t="s">
        <v>4</v>
      </c>
      <c r="F153" s="6">
        <v>6.5</v>
      </c>
      <c r="G153" s="6">
        <v>9.9</v>
      </c>
      <c r="H153" s="6"/>
      <c r="I153" s="9">
        <f>(F153+G153)/2</f>
        <v>8.1999999999999993</v>
      </c>
      <c r="J153" s="12">
        <f>8.2*30</f>
        <v>245.99999999999997</v>
      </c>
    </row>
    <row r="154" spans="1:10" ht="135" x14ac:dyDescent="0.25">
      <c r="A154" s="4" t="s">
        <v>445</v>
      </c>
      <c r="B154" s="4">
        <v>2</v>
      </c>
      <c r="C154" s="4" t="s">
        <v>446</v>
      </c>
      <c r="D154" s="4" t="s">
        <v>447</v>
      </c>
      <c r="E154" s="2" t="s">
        <v>4</v>
      </c>
      <c r="F154" s="6">
        <v>262</v>
      </c>
      <c r="G154" s="6">
        <v>287.47000000000003</v>
      </c>
      <c r="H154" s="6"/>
      <c r="I154" s="9">
        <f>(F154+G154)/2</f>
        <v>274.73500000000001</v>
      </c>
      <c r="J154" s="12">
        <f>274.74*2</f>
        <v>549.48</v>
      </c>
    </row>
    <row r="155" spans="1:10" ht="135" x14ac:dyDescent="0.25">
      <c r="A155" s="4" t="s">
        <v>448</v>
      </c>
      <c r="B155" s="4">
        <v>40</v>
      </c>
      <c r="C155" s="4" t="s">
        <v>449</v>
      </c>
      <c r="D155" s="4" t="s">
        <v>450</v>
      </c>
      <c r="E155" s="2" t="s">
        <v>4</v>
      </c>
      <c r="F155" s="6">
        <v>36.9</v>
      </c>
      <c r="G155" s="6">
        <v>36.04</v>
      </c>
      <c r="H155" s="6">
        <v>19.32</v>
      </c>
      <c r="I155" s="9">
        <f t="shared" si="7"/>
        <v>30.75333333333333</v>
      </c>
      <c r="J155" s="12">
        <f>30.75*40</f>
        <v>1230</v>
      </c>
    </row>
    <row r="156" spans="1:10" ht="135" x14ac:dyDescent="0.25">
      <c r="A156" s="4" t="s">
        <v>451</v>
      </c>
      <c r="B156" s="4">
        <v>50</v>
      </c>
      <c r="C156" s="4" t="s">
        <v>452</v>
      </c>
      <c r="D156" s="4" t="s">
        <v>453</v>
      </c>
      <c r="E156" s="2" t="s">
        <v>4</v>
      </c>
      <c r="F156" s="6">
        <v>72</v>
      </c>
      <c r="G156" s="6">
        <v>54.67</v>
      </c>
      <c r="H156" s="6">
        <v>49.56</v>
      </c>
      <c r="I156" s="9">
        <f t="shared" si="7"/>
        <v>58.743333333333339</v>
      </c>
      <c r="J156" s="12">
        <f>58.74*50</f>
        <v>2937</v>
      </c>
    </row>
    <row r="157" spans="1:10" ht="150" x14ac:dyDescent="0.25">
      <c r="A157" s="4" t="s">
        <v>454</v>
      </c>
      <c r="B157" s="4">
        <v>50</v>
      </c>
      <c r="C157" s="4" t="s">
        <v>455</v>
      </c>
      <c r="D157" s="4" t="s">
        <v>456</v>
      </c>
      <c r="E157" s="2" t="s">
        <v>4</v>
      </c>
      <c r="F157" s="6">
        <v>64.3</v>
      </c>
      <c r="G157" s="6">
        <v>79.5</v>
      </c>
      <c r="H157" s="6">
        <v>61</v>
      </c>
      <c r="I157" s="9">
        <f t="shared" si="7"/>
        <v>68.266666666666666</v>
      </c>
      <c r="J157" s="12">
        <f>68.27*50</f>
        <v>3413.5</v>
      </c>
    </row>
    <row r="158" spans="1:10" ht="135" x14ac:dyDescent="0.25">
      <c r="A158" s="4" t="s">
        <v>457</v>
      </c>
      <c r="B158" s="4">
        <v>5</v>
      </c>
      <c r="C158" s="4" t="s">
        <v>458</v>
      </c>
      <c r="D158" s="4" t="s">
        <v>459</v>
      </c>
      <c r="E158" s="2" t="s">
        <v>4</v>
      </c>
      <c r="F158" s="6">
        <v>140</v>
      </c>
      <c r="G158" s="6">
        <v>87.54</v>
      </c>
      <c r="H158" s="6">
        <v>132.25</v>
      </c>
      <c r="I158" s="9">
        <f t="shared" si="7"/>
        <v>119.93</v>
      </c>
      <c r="J158" s="12">
        <f>119.93*5</f>
        <v>599.65000000000009</v>
      </c>
    </row>
    <row r="159" spans="1:10" ht="105" x14ac:dyDescent="0.25">
      <c r="A159" s="4" t="s">
        <v>460</v>
      </c>
      <c r="B159" s="4">
        <v>400</v>
      </c>
      <c r="C159" s="4" t="s">
        <v>461</v>
      </c>
      <c r="D159" s="4" t="s">
        <v>462</v>
      </c>
      <c r="E159" s="2" t="s">
        <v>65</v>
      </c>
      <c r="F159" s="6">
        <v>14.3</v>
      </c>
      <c r="G159" s="6">
        <v>0</v>
      </c>
      <c r="H159" s="6">
        <v>9.6999999999999993</v>
      </c>
      <c r="I159" s="9">
        <f>(F159+H159)/2</f>
        <v>12</v>
      </c>
      <c r="J159" s="12">
        <f>12*400</f>
        <v>4800</v>
      </c>
    </row>
    <row r="160" spans="1:10" ht="120" x14ac:dyDescent="0.25">
      <c r="A160" s="4" t="s">
        <v>463</v>
      </c>
      <c r="B160" s="4">
        <v>20</v>
      </c>
      <c r="C160" s="4" t="s">
        <v>464</v>
      </c>
      <c r="D160" s="4" t="s">
        <v>465</v>
      </c>
      <c r="E160" s="2" t="s">
        <v>4</v>
      </c>
      <c r="F160" s="6">
        <v>16.2</v>
      </c>
      <c r="G160" s="6">
        <v>7.85</v>
      </c>
      <c r="H160" s="6">
        <v>12.03</v>
      </c>
      <c r="I160" s="9">
        <f t="shared" si="7"/>
        <v>12.026666666666666</v>
      </c>
      <c r="J160" s="12">
        <f>12.03*20</f>
        <v>240.6</v>
      </c>
    </row>
    <row r="161" spans="1:10" ht="105" x14ac:dyDescent="0.25">
      <c r="A161" s="4" t="s">
        <v>466</v>
      </c>
      <c r="B161" s="4">
        <v>5</v>
      </c>
      <c r="C161" s="4" t="s">
        <v>467</v>
      </c>
      <c r="D161" s="4" t="s">
        <v>468</v>
      </c>
      <c r="E161" s="2" t="s">
        <v>4</v>
      </c>
      <c r="F161" s="6">
        <v>8.1999999999999993</v>
      </c>
      <c r="G161" s="6">
        <v>0</v>
      </c>
      <c r="H161" s="6">
        <v>0</v>
      </c>
      <c r="I161" s="9">
        <f>(F161)/1</f>
        <v>8.1999999999999993</v>
      </c>
      <c r="J161" s="12">
        <f>8.2*5</f>
        <v>41</v>
      </c>
    </row>
    <row r="162" spans="1:10" ht="105" x14ac:dyDescent="0.25">
      <c r="A162" s="4" t="s">
        <v>469</v>
      </c>
      <c r="B162" s="4">
        <v>5</v>
      </c>
      <c r="C162" s="4" t="s">
        <v>470</v>
      </c>
      <c r="D162" s="4" t="s">
        <v>471</v>
      </c>
      <c r="E162" s="2" t="s">
        <v>4</v>
      </c>
      <c r="F162" s="6">
        <v>8.1999999999999993</v>
      </c>
      <c r="G162" s="6">
        <v>0</v>
      </c>
      <c r="H162" s="6">
        <v>0</v>
      </c>
      <c r="I162" s="9">
        <f>(F162)/1</f>
        <v>8.1999999999999993</v>
      </c>
      <c r="J162" s="12">
        <f>8.2*5</f>
        <v>41</v>
      </c>
    </row>
    <row r="163" spans="1:10" ht="105" x14ac:dyDescent="0.25">
      <c r="A163" s="4" t="s">
        <v>472</v>
      </c>
      <c r="B163" s="4">
        <v>5</v>
      </c>
      <c r="C163" s="4" t="s">
        <v>473</v>
      </c>
      <c r="D163" s="4" t="s">
        <v>474</v>
      </c>
      <c r="E163" s="2" t="s">
        <v>4</v>
      </c>
      <c r="F163" s="6">
        <v>8.1999999999999993</v>
      </c>
      <c r="G163" s="6">
        <v>0</v>
      </c>
      <c r="H163" s="6">
        <v>0</v>
      </c>
      <c r="I163" s="9">
        <f>(F163)/1</f>
        <v>8.1999999999999993</v>
      </c>
      <c r="J163" s="12">
        <f>8.2*5</f>
        <v>41</v>
      </c>
    </row>
    <row r="164" spans="1:10" ht="165" x14ac:dyDescent="0.25">
      <c r="A164" s="4" t="s">
        <v>475</v>
      </c>
      <c r="B164" s="4">
        <v>20</v>
      </c>
      <c r="C164" s="4" t="s">
        <v>476</v>
      </c>
      <c r="D164" s="4" t="s">
        <v>477</v>
      </c>
      <c r="E164" s="2" t="s">
        <v>4</v>
      </c>
      <c r="F164" s="6">
        <v>9.8000000000000007</v>
      </c>
      <c r="G164" s="6"/>
      <c r="H164" s="6">
        <v>8.5</v>
      </c>
      <c r="I164" s="9">
        <f>(F164+H164)/2</f>
        <v>9.15</v>
      </c>
      <c r="J164" s="12">
        <f>9.15*20</f>
        <v>183</v>
      </c>
    </row>
    <row r="165" spans="1:10" ht="150" x14ac:dyDescent="0.25">
      <c r="A165" s="4" t="s">
        <v>478</v>
      </c>
      <c r="B165" s="4">
        <v>6</v>
      </c>
      <c r="C165" s="4" t="s">
        <v>479</v>
      </c>
      <c r="D165" s="4" t="s">
        <v>480</v>
      </c>
      <c r="E165" s="2" t="s">
        <v>4</v>
      </c>
      <c r="F165" s="6">
        <v>72</v>
      </c>
      <c r="G165" s="6">
        <v>86.12</v>
      </c>
      <c r="H165" s="6">
        <v>69</v>
      </c>
      <c r="I165" s="9">
        <f t="shared" si="7"/>
        <v>75.706666666666663</v>
      </c>
      <c r="J165" s="12">
        <f>75.71*6</f>
        <v>454.26</v>
      </c>
    </row>
    <row r="166" spans="1:10" ht="90" x14ac:dyDescent="0.25">
      <c r="A166" s="4" t="s">
        <v>481</v>
      </c>
      <c r="B166" s="4">
        <v>50</v>
      </c>
      <c r="C166" s="4" t="s">
        <v>482</v>
      </c>
      <c r="D166" s="4" t="s">
        <v>483</v>
      </c>
      <c r="E166" s="2" t="s">
        <v>4</v>
      </c>
      <c r="F166" s="6">
        <v>26.5</v>
      </c>
      <c r="G166" s="6">
        <v>15.32</v>
      </c>
      <c r="H166" s="6">
        <v>19</v>
      </c>
      <c r="I166" s="9">
        <f t="shared" si="7"/>
        <v>20.273333333333333</v>
      </c>
      <c r="J166" s="12">
        <f>20.27*50</f>
        <v>1013.5</v>
      </c>
    </row>
    <row r="167" spans="1:10" ht="120" x14ac:dyDescent="0.25">
      <c r="A167" s="4" t="s">
        <v>484</v>
      </c>
      <c r="B167" s="4">
        <v>30</v>
      </c>
      <c r="C167" s="4" t="s">
        <v>485</v>
      </c>
      <c r="D167" s="4" t="s">
        <v>486</v>
      </c>
      <c r="E167" s="2" t="s">
        <v>4</v>
      </c>
      <c r="F167" s="6">
        <v>4.95</v>
      </c>
      <c r="G167" s="6">
        <v>3.3</v>
      </c>
      <c r="H167" s="6">
        <v>3.84</v>
      </c>
      <c r="I167" s="9">
        <f t="shared" si="7"/>
        <v>4.03</v>
      </c>
      <c r="J167" s="12">
        <f>4.03*30</f>
        <v>120.9</v>
      </c>
    </row>
    <row r="168" spans="1:10" ht="120" x14ac:dyDescent="0.25">
      <c r="A168" s="4" t="s">
        <v>487</v>
      </c>
      <c r="B168" s="4">
        <v>70</v>
      </c>
      <c r="C168" s="4" t="s">
        <v>488</v>
      </c>
      <c r="D168" s="4" t="s">
        <v>489</v>
      </c>
      <c r="E168" s="2" t="s">
        <v>4</v>
      </c>
      <c r="F168" s="6">
        <v>4.95</v>
      </c>
      <c r="G168" s="6">
        <v>3.3</v>
      </c>
      <c r="H168" s="6">
        <v>3.88</v>
      </c>
      <c r="I168" s="9">
        <f t="shared" si="7"/>
        <v>4.043333333333333</v>
      </c>
      <c r="J168" s="12">
        <f>4.04*70</f>
        <v>282.8</v>
      </c>
    </row>
    <row r="169" spans="1:10" ht="120" x14ac:dyDescent="0.25">
      <c r="A169" s="4" t="s">
        <v>490</v>
      </c>
      <c r="B169" s="4">
        <v>10</v>
      </c>
      <c r="C169" s="4" t="s">
        <v>491</v>
      </c>
      <c r="D169" s="4" t="s">
        <v>492</v>
      </c>
      <c r="E169" s="2" t="s">
        <v>4</v>
      </c>
      <c r="F169" s="6">
        <v>4.95</v>
      </c>
      <c r="G169" s="6">
        <v>3.3</v>
      </c>
      <c r="H169" s="6">
        <v>3.88</v>
      </c>
      <c r="I169" s="9">
        <f t="shared" si="7"/>
        <v>4.043333333333333</v>
      </c>
      <c r="J169" s="12">
        <f>4.04*10</f>
        <v>40.4</v>
      </c>
    </row>
    <row r="170" spans="1:10" ht="120" x14ac:dyDescent="0.25">
      <c r="A170" s="4" t="s">
        <v>493</v>
      </c>
      <c r="B170" s="4">
        <v>60</v>
      </c>
      <c r="C170" s="4" t="s">
        <v>494</v>
      </c>
      <c r="D170" s="4" t="s">
        <v>495</v>
      </c>
      <c r="E170" s="2" t="s">
        <v>4</v>
      </c>
      <c r="F170" s="6">
        <v>4.95</v>
      </c>
      <c r="G170" s="6">
        <v>3.3</v>
      </c>
      <c r="H170" s="6">
        <v>3.88</v>
      </c>
      <c r="I170" s="9">
        <f t="shared" si="7"/>
        <v>4.043333333333333</v>
      </c>
      <c r="J170" s="12">
        <f>4.04*60</f>
        <v>242.4</v>
      </c>
    </row>
    <row r="171" spans="1:10" ht="120" x14ac:dyDescent="0.25">
      <c r="A171" s="4" t="s">
        <v>496</v>
      </c>
      <c r="B171" s="4">
        <v>10</v>
      </c>
      <c r="C171" s="4" t="s">
        <v>497</v>
      </c>
      <c r="D171" s="4" t="s">
        <v>498</v>
      </c>
      <c r="E171" s="2" t="s">
        <v>4</v>
      </c>
      <c r="F171" s="6">
        <v>4.95</v>
      </c>
      <c r="G171" s="6">
        <v>3.3</v>
      </c>
      <c r="H171" s="6">
        <v>5.73</v>
      </c>
      <c r="I171" s="9">
        <f t="shared" si="7"/>
        <v>4.66</v>
      </c>
      <c r="J171" s="12">
        <f>4.66*10</f>
        <v>46.6</v>
      </c>
    </row>
    <row r="172" spans="1:10" ht="120" x14ac:dyDescent="0.25">
      <c r="A172" s="4" t="s">
        <v>499</v>
      </c>
      <c r="B172" s="4">
        <v>60</v>
      </c>
      <c r="C172" s="4" t="s">
        <v>500</v>
      </c>
      <c r="D172" s="4" t="s">
        <v>501</v>
      </c>
      <c r="E172" s="2" t="s">
        <v>4</v>
      </c>
      <c r="F172" s="6">
        <v>4.95</v>
      </c>
      <c r="G172" s="6">
        <v>3.3</v>
      </c>
      <c r="H172" s="6">
        <v>3.88</v>
      </c>
      <c r="I172" s="9">
        <f t="shared" si="7"/>
        <v>4.043333333333333</v>
      </c>
      <c r="J172" s="12">
        <f>4.04*60</f>
        <v>242.4</v>
      </c>
    </row>
    <row r="173" spans="1:10" ht="120" x14ac:dyDescent="0.25">
      <c r="A173" s="4" t="s">
        <v>502</v>
      </c>
      <c r="B173" s="4">
        <v>80</v>
      </c>
      <c r="C173" s="4" t="s">
        <v>503</v>
      </c>
      <c r="D173" s="4" t="s">
        <v>504</v>
      </c>
      <c r="E173" s="2" t="s">
        <v>4</v>
      </c>
      <c r="F173" s="6">
        <v>4.95</v>
      </c>
      <c r="G173" s="6">
        <v>3.3</v>
      </c>
      <c r="H173" s="6">
        <v>5.73</v>
      </c>
      <c r="I173" s="9">
        <f t="shared" si="7"/>
        <v>4.66</v>
      </c>
      <c r="J173" s="12">
        <f>4.66*80</f>
        <v>372.8</v>
      </c>
    </row>
    <row r="174" spans="1:10" ht="120" x14ac:dyDescent="0.25">
      <c r="A174" s="4" t="s">
        <v>505</v>
      </c>
      <c r="B174" s="4">
        <v>20</v>
      </c>
      <c r="C174" s="4" t="s">
        <v>506</v>
      </c>
      <c r="D174" s="4" t="s">
        <v>507</v>
      </c>
      <c r="E174" s="2" t="s">
        <v>4</v>
      </c>
      <c r="F174" s="6">
        <v>4.95</v>
      </c>
      <c r="G174" s="6">
        <v>3.3</v>
      </c>
      <c r="H174" s="6">
        <v>5.73</v>
      </c>
      <c r="I174" s="9">
        <f t="shared" si="7"/>
        <v>4.66</v>
      </c>
      <c r="J174" s="12">
        <f>4.66*20</f>
        <v>93.2</v>
      </c>
    </row>
    <row r="175" spans="1:10" ht="105" x14ac:dyDescent="0.25">
      <c r="A175" s="4" t="s">
        <v>508</v>
      </c>
      <c r="B175" s="4">
        <v>40</v>
      </c>
      <c r="C175" s="4" t="s">
        <v>509</v>
      </c>
      <c r="D175" s="4" t="s">
        <v>510</v>
      </c>
      <c r="E175" s="2" t="s">
        <v>4</v>
      </c>
      <c r="F175" s="6">
        <v>4.95</v>
      </c>
      <c r="G175" s="6">
        <v>3.3</v>
      </c>
      <c r="H175" s="6">
        <v>3.84</v>
      </c>
      <c r="I175" s="9">
        <f t="shared" si="7"/>
        <v>4.03</v>
      </c>
      <c r="J175" s="12">
        <f>4.03*40</f>
        <v>161.20000000000002</v>
      </c>
    </row>
    <row r="176" spans="1:10" ht="105" x14ac:dyDescent="0.25">
      <c r="A176" s="4" t="s">
        <v>511</v>
      </c>
      <c r="B176" s="4">
        <v>50</v>
      </c>
      <c r="C176" s="4" t="s">
        <v>512</v>
      </c>
      <c r="D176" s="4" t="s">
        <v>513</v>
      </c>
      <c r="E176" s="2" t="s">
        <v>4</v>
      </c>
      <c r="F176" s="6">
        <v>4.95</v>
      </c>
      <c r="G176" s="6">
        <v>3.3</v>
      </c>
      <c r="H176" s="6">
        <v>5.32</v>
      </c>
      <c r="I176" s="9">
        <f t="shared" si="7"/>
        <v>4.5233333333333334</v>
      </c>
      <c r="J176" s="12">
        <f>4.52*50</f>
        <v>225.99999999999997</v>
      </c>
    </row>
    <row r="177" spans="1:10" ht="105" x14ac:dyDescent="0.25">
      <c r="A177" s="4" t="s">
        <v>514</v>
      </c>
      <c r="B177" s="4">
        <v>40</v>
      </c>
      <c r="C177" s="4" t="s">
        <v>515</v>
      </c>
      <c r="D177" s="4" t="s">
        <v>516</v>
      </c>
      <c r="E177" s="2" t="s">
        <v>4</v>
      </c>
      <c r="F177" s="6">
        <v>4.95</v>
      </c>
      <c r="G177" s="6">
        <v>3.3</v>
      </c>
      <c r="H177" s="6">
        <v>2.5499999999999998</v>
      </c>
      <c r="I177" s="9">
        <f t="shared" si="7"/>
        <v>3.6</v>
      </c>
      <c r="J177" s="12">
        <f>3.6*40</f>
        <v>144</v>
      </c>
    </row>
    <row r="178" spans="1:10" ht="105" x14ac:dyDescent="0.25">
      <c r="A178" s="4" t="s">
        <v>517</v>
      </c>
      <c r="B178" s="4">
        <v>20</v>
      </c>
      <c r="C178" s="4" t="s">
        <v>518</v>
      </c>
      <c r="D178" s="4" t="s">
        <v>519</v>
      </c>
      <c r="E178" s="2" t="s">
        <v>4</v>
      </c>
      <c r="F178" s="6">
        <v>4.95</v>
      </c>
      <c r="G178" s="6">
        <v>3.3</v>
      </c>
      <c r="H178" s="6">
        <v>3.84</v>
      </c>
      <c r="I178" s="9">
        <f t="shared" si="7"/>
        <v>4.03</v>
      </c>
      <c r="J178" s="12">
        <f>4.03*20</f>
        <v>80.600000000000009</v>
      </c>
    </row>
    <row r="179" spans="1:10" ht="105" x14ac:dyDescent="0.25">
      <c r="A179" s="4" t="s">
        <v>520</v>
      </c>
      <c r="B179" s="4">
        <v>80</v>
      </c>
      <c r="C179" s="4" t="s">
        <v>521</v>
      </c>
      <c r="D179" s="4" t="s">
        <v>522</v>
      </c>
      <c r="E179" s="2" t="s">
        <v>4</v>
      </c>
      <c r="F179" s="6">
        <v>4.95</v>
      </c>
      <c r="G179" s="6">
        <v>3.3</v>
      </c>
      <c r="H179" s="6">
        <v>2.72</v>
      </c>
      <c r="I179" s="9">
        <f t="shared" si="7"/>
        <v>3.6566666666666667</v>
      </c>
      <c r="J179" s="12">
        <f>3.66*80</f>
        <v>292.8</v>
      </c>
    </row>
    <row r="180" spans="1:10" ht="105" x14ac:dyDescent="0.25">
      <c r="A180" s="4" t="s">
        <v>523</v>
      </c>
      <c r="B180" s="4">
        <v>80</v>
      </c>
      <c r="C180" s="4" t="s">
        <v>524</v>
      </c>
      <c r="D180" s="4" t="s">
        <v>525</v>
      </c>
      <c r="E180" s="2" t="s">
        <v>4</v>
      </c>
      <c r="F180" s="6">
        <v>4.95</v>
      </c>
      <c r="G180" s="6">
        <v>3.3</v>
      </c>
      <c r="H180" s="6">
        <v>2.72</v>
      </c>
      <c r="I180" s="9">
        <f t="shared" si="7"/>
        <v>3.6566666666666667</v>
      </c>
      <c r="J180" s="12">
        <f>3.66*80</f>
        <v>292.8</v>
      </c>
    </row>
    <row r="181" spans="1:10" ht="120" x14ac:dyDescent="0.25">
      <c r="A181" s="4" t="s">
        <v>526</v>
      </c>
      <c r="B181" s="4">
        <v>80</v>
      </c>
      <c r="C181" s="4" t="s">
        <v>527</v>
      </c>
      <c r="D181" s="4" t="s">
        <v>528</v>
      </c>
      <c r="E181" s="2" t="s">
        <v>4</v>
      </c>
      <c r="F181" s="6">
        <v>4.95</v>
      </c>
      <c r="G181" s="6">
        <v>3.3</v>
      </c>
      <c r="H181" s="6">
        <v>2.72</v>
      </c>
      <c r="I181" s="9">
        <f t="shared" si="7"/>
        <v>3.6566666666666667</v>
      </c>
      <c r="J181" s="12">
        <f>3.66*80</f>
        <v>292.8</v>
      </c>
    </row>
    <row r="182" spans="1:10" ht="105" x14ac:dyDescent="0.25">
      <c r="A182" s="4" t="s">
        <v>529</v>
      </c>
      <c r="B182" s="4">
        <v>60</v>
      </c>
      <c r="C182" s="4" t="s">
        <v>530</v>
      </c>
      <c r="D182" s="4" t="s">
        <v>531</v>
      </c>
      <c r="E182" s="2" t="s">
        <v>4</v>
      </c>
      <c r="F182" s="6">
        <v>4.95</v>
      </c>
      <c r="G182" s="6">
        <v>3.3</v>
      </c>
      <c r="H182" s="6">
        <v>2.61</v>
      </c>
      <c r="I182" s="9">
        <f t="shared" si="7"/>
        <v>3.6199999999999997</v>
      </c>
      <c r="J182" s="12">
        <f>3.62*60</f>
        <v>217.20000000000002</v>
      </c>
    </row>
    <row r="183" spans="1:10" ht="120" x14ac:dyDescent="0.25">
      <c r="A183" s="4" t="s">
        <v>532</v>
      </c>
      <c r="B183" s="4">
        <v>80</v>
      </c>
      <c r="C183" s="4" t="s">
        <v>533</v>
      </c>
      <c r="D183" s="4" t="s">
        <v>534</v>
      </c>
      <c r="E183" s="2" t="s">
        <v>4</v>
      </c>
      <c r="F183" s="6">
        <v>4.95</v>
      </c>
      <c r="G183" s="6">
        <v>3.3</v>
      </c>
      <c r="H183" s="6">
        <v>2.61</v>
      </c>
      <c r="I183" s="9">
        <f t="shared" si="7"/>
        <v>3.6199999999999997</v>
      </c>
      <c r="J183" s="12">
        <f>3.62*80</f>
        <v>289.60000000000002</v>
      </c>
    </row>
    <row r="184" spans="1:10" ht="105" x14ac:dyDescent="0.25">
      <c r="A184" s="4" t="s">
        <v>535</v>
      </c>
      <c r="B184" s="4">
        <v>70</v>
      </c>
      <c r="C184" s="4" t="s">
        <v>536</v>
      </c>
      <c r="D184" s="4" t="s">
        <v>537</v>
      </c>
      <c r="E184" s="2" t="s">
        <v>4</v>
      </c>
      <c r="F184" s="6">
        <v>4.95</v>
      </c>
      <c r="G184" s="6">
        <v>3.3</v>
      </c>
      <c r="H184" s="6">
        <v>3.05</v>
      </c>
      <c r="I184" s="9">
        <f t="shared" si="7"/>
        <v>3.7666666666666671</v>
      </c>
      <c r="J184" s="12">
        <f>3.77*70</f>
        <v>263.89999999999998</v>
      </c>
    </row>
    <row r="185" spans="1:10" ht="105" x14ac:dyDescent="0.25">
      <c r="A185" s="4" t="s">
        <v>538</v>
      </c>
      <c r="B185" s="4">
        <v>60</v>
      </c>
      <c r="C185" s="4" t="s">
        <v>539</v>
      </c>
      <c r="D185" s="4" t="s">
        <v>540</v>
      </c>
      <c r="E185" s="2" t="s">
        <v>4</v>
      </c>
      <c r="F185" s="6">
        <v>4.95</v>
      </c>
      <c r="G185" s="6">
        <v>3.3</v>
      </c>
      <c r="H185" s="6">
        <v>3.26</v>
      </c>
      <c r="I185" s="9">
        <f t="shared" si="7"/>
        <v>3.8366666666666664</v>
      </c>
      <c r="J185" s="12">
        <f>3.84*60</f>
        <v>230.39999999999998</v>
      </c>
    </row>
    <row r="186" spans="1:10" ht="105" x14ac:dyDescent="0.25">
      <c r="A186" s="4" t="s">
        <v>541</v>
      </c>
      <c r="B186" s="4">
        <v>40</v>
      </c>
      <c r="C186" s="4" t="s">
        <v>542</v>
      </c>
      <c r="D186" s="4" t="s">
        <v>543</v>
      </c>
      <c r="E186" s="2" t="s">
        <v>4</v>
      </c>
      <c r="F186" s="6">
        <v>4.95</v>
      </c>
      <c r="G186" s="6">
        <v>3.3</v>
      </c>
      <c r="H186" s="6">
        <v>5</v>
      </c>
      <c r="I186" s="9">
        <f t="shared" si="7"/>
        <v>4.416666666666667</v>
      </c>
      <c r="J186" s="12">
        <f>4.42*40</f>
        <v>176.8</v>
      </c>
    </row>
    <row r="187" spans="1:10" ht="105" x14ac:dyDescent="0.25">
      <c r="A187" s="4" t="s">
        <v>544</v>
      </c>
      <c r="B187" s="4">
        <v>40</v>
      </c>
      <c r="C187" s="4" t="s">
        <v>545</v>
      </c>
      <c r="D187" s="4" t="s">
        <v>546</v>
      </c>
      <c r="E187" s="2" t="s">
        <v>4</v>
      </c>
      <c r="F187" s="6">
        <v>4.95</v>
      </c>
      <c r="G187" s="6">
        <v>3.3</v>
      </c>
      <c r="H187" s="6">
        <v>3.55</v>
      </c>
      <c r="I187" s="9">
        <f t="shared" si="7"/>
        <v>3.9333333333333336</v>
      </c>
      <c r="J187" s="12">
        <f>3.93*40</f>
        <v>157.20000000000002</v>
      </c>
    </row>
    <row r="188" spans="1:10" ht="105" x14ac:dyDescent="0.25">
      <c r="A188" s="4" t="s">
        <v>547</v>
      </c>
      <c r="B188" s="4">
        <v>80</v>
      </c>
      <c r="C188" s="4" t="s">
        <v>548</v>
      </c>
      <c r="D188" s="4" t="s">
        <v>549</v>
      </c>
      <c r="E188" s="2" t="s">
        <v>4</v>
      </c>
      <c r="F188" s="6">
        <v>4.95</v>
      </c>
      <c r="G188" s="6">
        <v>3.3</v>
      </c>
      <c r="H188" s="6">
        <v>3.2</v>
      </c>
      <c r="I188" s="9">
        <f t="shared" si="7"/>
        <v>3.8166666666666664</v>
      </c>
      <c r="J188" s="12">
        <f>3.82*80</f>
        <v>305.59999999999997</v>
      </c>
    </row>
    <row r="189" spans="1:10" ht="105" x14ac:dyDescent="0.25">
      <c r="A189" s="4" t="s">
        <v>550</v>
      </c>
      <c r="B189" s="4">
        <v>80</v>
      </c>
      <c r="C189" s="4" t="s">
        <v>551</v>
      </c>
      <c r="D189" s="4" t="s">
        <v>552</v>
      </c>
      <c r="E189" s="2" t="s">
        <v>4</v>
      </c>
      <c r="F189" s="6">
        <v>4.95</v>
      </c>
      <c r="G189" s="6">
        <v>3.3</v>
      </c>
      <c r="H189" s="6">
        <v>3.2</v>
      </c>
      <c r="I189" s="9">
        <f t="shared" si="7"/>
        <v>3.8166666666666664</v>
      </c>
      <c r="J189" s="12">
        <f>3.82*80</f>
        <v>305.59999999999997</v>
      </c>
    </row>
    <row r="190" spans="1:10" ht="120" x14ac:dyDescent="0.25">
      <c r="A190" s="4" t="s">
        <v>553</v>
      </c>
      <c r="B190" s="4">
        <v>80</v>
      </c>
      <c r="C190" s="4" t="s">
        <v>554</v>
      </c>
      <c r="D190" s="4" t="s">
        <v>555</v>
      </c>
      <c r="E190" s="2" t="s">
        <v>4</v>
      </c>
      <c r="F190" s="6">
        <v>4.95</v>
      </c>
      <c r="G190" s="6">
        <v>3.3</v>
      </c>
      <c r="H190" s="6">
        <v>3.2</v>
      </c>
      <c r="I190" s="9">
        <f t="shared" si="7"/>
        <v>3.8166666666666664</v>
      </c>
      <c r="J190" s="12">
        <f>3.82*80</f>
        <v>305.59999999999997</v>
      </c>
    </row>
    <row r="191" spans="1:10" ht="105" x14ac:dyDescent="0.25">
      <c r="A191" s="4" t="s">
        <v>556</v>
      </c>
      <c r="B191" s="4">
        <v>80</v>
      </c>
      <c r="C191" s="4" t="s">
        <v>557</v>
      </c>
      <c r="D191" s="4" t="s">
        <v>558</v>
      </c>
      <c r="E191" s="2" t="s">
        <v>4</v>
      </c>
      <c r="F191" s="6">
        <v>4.95</v>
      </c>
      <c r="G191" s="6">
        <v>3.3</v>
      </c>
      <c r="H191" s="6">
        <v>3.54</v>
      </c>
      <c r="I191" s="9">
        <f t="shared" si="7"/>
        <v>3.9299999999999997</v>
      </c>
      <c r="J191" s="12">
        <f>3.93*80</f>
        <v>314.40000000000003</v>
      </c>
    </row>
    <row r="192" spans="1:10" ht="105" x14ac:dyDescent="0.25">
      <c r="A192" s="4" t="s">
        <v>559</v>
      </c>
      <c r="B192" s="4">
        <v>50</v>
      </c>
      <c r="C192" s="4" t="s">
        <v>560</v>
      </c>
      <c r="D192" s="4" t="s">
        <v>561</v>
      </c>
      <c r="E192" s="2" t="s">
        <v>4</v>
      </c>
      <c r="F192" s="6">
        <v>4.95</v>
      </c>
      <c r="G192" s="6">
        <v>3.3</v>
      </c>
      <c r="H192" s="6">
        <v>3.55</v>
      </c>
      <c r="I192" s="9">
        <f t="shared" si="7"/>
        <v>3.9333333333333336</v>
      </c>
      <c r="J192" s="12">
        <f>3.93*50</f>
        <v>196.5</v>
      </c>
    </row>
    <row r="193" spans="1:10" ht="120" x14ac:dyDescent="0.25">
      <c r="A193" s="4" t="s">
        <v>562</v>
      </c>
      <c r="B193" s="4">
        <v>10</v>
      </c>
      <c r="C193" s="4" t="s">
        <v>563</v>
      </c>
      <c r="D193" s="4" t="s">
        <v>564</v>
      </c>
      <c r="E193" s="2" t="s">
        <v>4</v>
      </c>
      <c r="F193" s="6">
        <v>4.95</v>
      </c>
      <c r="G193" s="6">
        <v>3.3</v>
      </c>
      <c r="H193" s="6">
        <v>5.24</v>
      </c>
      <c r="I193" s="9">
        <f t="shared" si="7"/>
        <v>4.496666666666667</v>
      </c>
      <c r="J193" s="12">
        <f>4.5*10</f>
        <v>45</v>
      </c>
    </row>
    <row r="194" spans="1:10" ht="105" x14ac:dyDescent="0.25">
      <c r="A194" s="4" t="s">
        <v>565</v>
      </c>
      <c r="B194" s="4">
        <v>80</v>
      </c>
      <c r="C194" s="4" t="s">
        <v>566</v>
      </c>
      <c r="D194" s="4" t="s">
        <v>567</v>
      </c>
      <c r="E194" s="2" t="s">
        <v>4</v>
      </c>
      <c r="F194" s="6">
        <v>4.95</v>
      </c>
      <c r="G194" s="6">
        <v>3.3</v>
      </c>
      <c r="H194" s="6">
        <v>4.83</v>
      </c>
      <c r="I194" s="9">
        <f t="shared" si="7"/>
        <v>4.3600000000000003</v>
      </c>
      <c r="J194" s="12">
        <f>4.36*80</f>
        <v>348.8</v>
      </c>
    </row>
    <row r="195" spans="1:10" ht="105" x14ac:dyDescent="0.25">
      <c r="A195" s="4" t="s">
        <v>568</v>
      </c>
      <c r="B195" s="4">
        <v>80</v>
      </c>
      <c r="C195" s="4" t="s">
        <v>569</v>
      </c>
      <c r="D195" s="4" t="s">
        <v>570</v>
      </c>
      <c r="E195" s="2" t="s">
        <v>4</v>
      </c>
      <c r="F195" s="6">
        <v>4.95</v>
      </c>
      <c r="G195" s="6">
        <v>3.3</v>
      </c>
      <c r="H195" s="6">
        <v>3.7</v>
      </c>
      <c r="I195" s="9">
        <f t="shared" si="7"/>
        <v>3.9833333333333329</v>
      </c>
      <c r="J195" s="12">
        <f>3.98*80</f>
        <v>318.39999999999998</v>
      </c>
    </row>
    <row r="196" spans="1:10" ht="120" x14ac:dyDescent="0.25">
      <c r="A196" s="4" t="s">
        <v>571</v>
      </c>
      <c r="B196" s="4">
        <v>80</v>
      </c>
      <c r="C196" s="4" t="s">
        <v>572</v>
      </c>
      <c r="D196" s="4" t="s">
        <v>573</v>
      </c>
      <c r="E196" s="2" t="s">
        <v>4</v>
      </c>
      <c r="F196" s="6">
        <v>4.95</v>
      </c>
      <c r="G196" s="6">
        <v>3.3</v>
      </c>
      <c r="H196" s="6">
        <v>3.58</v>
      </c>
      <c r="I196" s="9">
        <f t="shared" si="7"/>
        <v>3.9433333333333334</v>
      </c>
      <c r="J196" s="12">
        <f>3.94*80</f>
        <v>315.2</v>
      </c>
    </row>
    <row r="197" spans="1:10" ht="105" x14ac:dyDescent="0.25">
      <c r="A197" s="4" t="s">
        <v>574</v>
      </c>
      <c r="B197" s="4">
        <v>50</v>
      </c>
      <c r="C197" s="4" t="s">
        <v>575</v>
      </c>
      <c r="D197" s="4" t="s">
        <v>576</v>
      </c>
      <c r="E197" s="2" t="s">
        <v>4</v>
      </c>
      <c r="F197" s="6">
        <v>4.95</v>
      </c>
      <c r="G197" s="6">
        <v>3.3</v>
      </c>
      <c r="H197" s="6">
        <v>3.96</v>
      </c>
      <c r="I197" s="9">
        <f t="shared" ref="I197:I236" si="8">(F197+G197+H197)/3</f>
        <v>4.07</v>
      </c>
      <c r="J197" s="12">
        <f>4.07*50</f>
        <v>203.5</v>
      </c>
    </row>
    <row r="198" spans="1:10" ht="105" x14ac:dyDescent="0.25">
      <c r="A198" s="4" t="s">
        <v>577</v>
      </c>
      <c r="B198" s="4">
        <v>60</v>
      </c>
      <c r="C198" s="4" t="s">
        <v>578</v>
      </c>
      <c r="D198" s="4" t="s">
        <v>579</v>
      </c>
      <c r="E198" s="2" t="s">
        <v>4</v>
      </c>
      <c r="F198" s="6">
        <v>4.95</v>
      </c>
      <c r="G198" s="6">
        <v>3.3</v>
      </c>
      <c r="H198" s="6">
        <v>3.96</v>
      </c>
      <c r="I198" s="9">
        <f t="shared" si="8"/>
        <v>4.07</v>
      </c>
      <c r="J198" s="12">
        <f>4.07*60</f>
        <v>244.20000000000002</v>
      </c>
    </row>
    <row r="199" spans="1:10" ht="120" x14ac:dyDescent="0.25">
      <c r="A199" s="4" t="s">
        <v>580</v>
      </c>
      <c r="B199" s="4">
        <v>10</v>
      </c>
      <c r="C199" s="4" t="s">
        <v>581</v>
      </c>
      <c r="D199" s="4" t="s">
        <v>582</v>
      </c>
      <c r="E199" s="2" t="s">
        <v>4</v>
      </c>
      <c r="F199" s="6">
        <v>4.95</v>
      </c>
      <c r="G199" s="6">
        <v>3.3</v>
      </c>
      <c r="H199" s="6">
        <v>3.96</v>
      </c>
      <c r="I199" s="9">
        <f t="shared" si="8"/>
        <v>4.07</v>
      </c>
      <c r="J199" s="12">
        <f>4.07*10</f>
        <v>40.700000000000003</v>
      </c>
    </row>
    <row r="200" spans="1:10" ht="105" x14ac:dyDescent="0.25">
      <c r="A200" s="4" t="s">
        <v>583</v>
      </c>
      <c r="B200" s="4">
        <v>70</v>
      </c>
      <c r="C200" s="4" t="s">
        <v>584</v>
      </c>
      <c r="D200" s="4" t="s">
        <v>585</v>
      </c>
      <c r="E200" s="2" t="s">
        <v>4</v>
      </c>
      <c r="F200" s="6">
        <v>4.95</v>
      </c>
      <c r="G200" s="6">
        <v>3.3</v>
      </c>
      <c r="H200" s="6">
        <v>2.5099999999999998</v>
      </c>
      <c r="I200" s="9">
        <f t="shared" si="8"/>
        <v>3.5866666666666664</v>
      </c>
      <c r="J200" s="12">
        <f>3.59*70</f>
        <v>251.29999999999998</v>
      </c>
    </row>
    <row r="201" spans="1:10" ht="105" x14ac:dyDescent="0.25">
      <c r="A201" s="4" t="s">
        <v>586</v>
      </c>
      <c r="B201" s="4">
        <v>20</v>
      </c>
      <c r="C201" s="4" t="s">
        <v>587</v>
      </c>
      <c r="D201" s="4" t="s">
        <v>588</v>
      </c>
      <c r="E201" s="2" t="s">
        <v>198</v>
      </c>
      <c r="F201" s="6">
        <v>82</v>
      </c>
      <c r="G201" s="6">
        <v>0</v>
      </c>
      <c r="H201" s="6">
        <v>43.1</v>
      </c>
      <c r="I201" s="9">
        <f>(F201+H201)/2</f>
        <v>62.55</v>
      </c>
      <c r="J201" s="12">
        <f>62.55*20</f>
        <v>1251</v>
      </c>
    </row>
    <row r="202" spans="1:10" ht="165" x14ac:dyDescent="0.25">
      <c r="A202" s="4" t="s">
        <v>589</v>
      </c>
      <c r="B202" s="4">
        <v>1</v>
      </c>
      <c r="C202" s="4" t="s">
        <v>590</v>
      </c>
      <c r="D202" s="4" t="s">
        <v>591</v>
      </c>
      <c r="E202" s="2" t="s">
        <v>4</v>
      </c>
      <c r="F202" s="6">
        <v>242</v>
      </c>
      <c r="G202" s="6">
        <v>268.8</v>
      </c>
      <c r="H202" s="6">
        <v>220</v>
      </c>
      <c r="I202" s="9">
        <f t="shared" si="8"/>
        <v>243.6</v>
      </c>
      <c r="J202" s="12">
        <f>243.6*1</f>
        <v>243.6</v>
      </c>
    </row>
    <row r="203" spans="1:10" ht="135" x14ac:dyDescent="0.25">
      <c r="A203" s="4" t="s">
        <v>592</v>
      </c>
      <c r="B203" s="4">
        <v>1</v>
      </c>
      <c r="C203" s="4" t="s">
        <v>593</v>
      </c>
      <c r="D203" s="4" t="s">
        <v>594</v>
      </c>
      <c r="E203" s="2" t="s">
        <v>4</v>
      </c>
      <c r="F203" s="6">
        <v>14.3</v>
      </c>
      <c r="G203" s="6">
        <v>22.62</v>
      </c>
      <c r="H203" s="6">
        <v>12.6</v>
      </c>
      <c r="I203" s="9">
        <f t="shared" si="8"/>
        <v>16.506666666666668</v>
      </c>
      <c r="J203" s="12">
        <f>16.51*1</f>
        <v>16.510000000000002</v>
      </c>
    </row>
    <row r="204" spans="1:10" ht="195" x14ac:dyDescent="0.25">
      <c r="A204" s="4" t="s">
        <v>595</v>
      </c>
      <c r="B204" s="4">
        <v>30</v>
      </c>
      <c r="C204" s="4" t="s">
        <v>596</v>
      </c>
      <c r="D204" s="4" t="s">
        <v>597</v>
      </c>
      <c r="E204" s="2" t="s">
        <v>4</v>
      </c>
      <c r="F204" s="6">
        <v>139.69999999999999</v>
      </c>
      <c r="G204" s="6"/>
      <c r="H204" s="6">
        <v>150.9</v>
      </c>
      <c r="I204" s="9">
        <f>(F204+H204)/2</f>
        <v>145.30000000000001</v>
      </c>
      <c r="J204" s="12">
        <f>145.3*30</f>
        <v>4359</v>
      </c>
    </row>
    <row r="205" spans="1:10" ht="195" x14ac:dyDescent="0.25">
      <c r="A205" s="4" t="s">
        <v>598</v>
      </c>
      <c r="B205" s="4">
        <v>20</v>
      </c>
      <c r="C205" s="4" t="s">
        <v>599</v>
      </c>
      <c r="D205" s="4" t="s">
        <v>600</v>
      </c>
      <c r="E205" s="2" t="s">
        <v>4</v>
      </c>
      <c r="F205" s="6">
        <v>139.69999999999999</v>
      </c>
      <c r="G205" s="6"/>
      <c r="H205" s="6">
        <v>150.4</v>
      </c>
      <c r="I205" s="9">
        <f>(F205+H205)/2</f>
        <v>145.05000000000001</v>
      </c>
      <c r="J205" s="12">
        <f>145.05*20</f>
        <v>2901</v>
      </c>
    </row>
    <row r="206" spans="1:10" ht="195" x14ac:dyDescent="0.25">
      <c r="A206" s="4" t="s">
        <v>601</v>
      </c>
      <c r="B206" s="4">
        <v>25</v>
      </c>
      <c r="C206" s="4" t="s">
        <v>602</v>
      </c>
      <c r="D206" s="4" t="s">
        <v>603</v>
      </c>
      <c r="E206" s="2" t="s">
        <v>4</v>
      </c>
      <c r="F206" s="6">
        <v>139.69999999999999</v>
      </c>
      <c r="G206" s="6">
        <v>272.8</v>
      </c>
      <c r="H206" s="6">
        <v>172.5</v>
      </c>
      <c r="I206" s="9">
        <f t="shared" si="8"/>
        <v>195</v>
      </c>
      <c r="J206" s="12">
        <f>195*25</f>
        <v>4875</v>
      </c>
    </row>
    <row r="207" spans="1:10" ht="195" x14ac:dyDescent="0.25">
      <c r="A207" s="4" t="s">
        <v>604</v>
      </c>
      <c r="B207" s="4">
        <v>25</v>
      </c>
      <c r="C207" s="4" t="s">
        <v>605</v>
      </c>
      <c r="D207" s="4" t="s">
        <v>606</v>
      </c>
      <c r="E207" s="2" t="s">
        <v>4</v>
      </c>
      <c r="F207" s="6">
        <v>139.69999999999999</v>
      </c>
      <c r="G207" s="6">
        <v>272.8</v>
      </c>
      <c r="H207" s="6">
        <v>172.5</v>
      </c>
      <c r="I207" s="9">
        <f t="shared" si="8"/>
        <v>195</v>
      </c>
      <c r="J207" s="12">
        <f>195*25</f>
        <v>4875</v>
      </c>
    </row>
    <row r="208" spans="1:10" ht="195" x14ac:dyDescent="0.25">
      <c r="A208" s="4" t="s">
        <v>607</v>
      </c>
      <c r="B208" s="4">
        <v>25</v>
      </c>
      <c r="C208" s="4" t="s">
        <v>608</v>
      </c>
      <c r="D208" s="4" t="s">
        <v>609</v>
      </c>
      <c r="E208" s="2" t="s">
        <v>4</v>
      </c>
      <c r="F208" s="6">
        <v>139.69999999999999</v>
      </c>
      <c r="G208" s="6"/>
      <c r="H208" s="6">
        <v>140.33000000000001</v>
      </c>
      <c r="I208" s="9">
        <f>(F208+H208)/2</f>
        <v>140.01499999999999</v>
      </c>
      <c r="J208" s="12">
        <f>140.02*25</f>
        <v>3500.5000000000005</v>
      </c>
    </row>
    <row r="209" spans="1:10" ht="195" x14ac:dyDescent="0.25">
      <c r="A209" s="4" t="s">
        <v>610</v>
      </c>
      <c r="B209" s="4">
        <v>5</v>
      </c>
      <c r="C209" s="4" t="s">
        <v>611</v>
      </c>
      <c r="D209" s="4" t="s">
        <v>612</v>
      </c>
      <c r="E209" s="2" t="s">
        <v>4</v>
      </c>
      <c r="F209" s="6">
        <v>139.69999999999999</v>
      </c>
      <c r="G209" s="6">
        <v>272.8</v>
      </c>
      <c r="H209" s="6">
        <v>172.5</v>
      </c>
      <c r="I209" s="9">
        <f>(F209+G209+H209)/3</f>
        <v>195</v>
      </c>
      <c r="J209" s="12">
        <f>195*5</f>
        <v>975</v>
      </c>
    </row>
    <row r="210" spans="1:10" ht="90" x14ac:dyDescent="0.25">
      <c r="A210" s="4" t="s">
        <v>613</v>
      </c>
      <c r="B210" s="4">
        <v>25</v>
      </c>
      <c r="C210" s="4" t="s">
        <v>614</v>
      </c>
      <c r="D210" s="4" t="s">
        <v>615</v>
      </c>
      <c r="E210" s="2" t="s">
        <v>4</v>
      </c>
      <c r="F210" s="6">
        <v>24</v>
      </c>
      <c r="G210" s="6">
        <v>16.84</v>
      </c>
      <c r="H210" s="6">
        <v>23.44</v>
      </c>
      <c r="I210" s="9">
        <f t="shared" si="8"/>
        <v>21.426666666666666</v>
      </c>
      <c r="J210" s="12">
        <f>21.43*25</f>
        <v>535.75</v>
      </c>
    </row>
    <row r="211" spans="1:10" ht="120" x14ac:dyDescent="0.25">
      <c r="A211" s="4" t="s">
        <v>616</v>
      </c>
      <c r="B211" s="4">
        <v>40</v>
      </c>
      <c r="C211" s="4" t="s">
        <v>617</v>
      </c>
      <c r="D211" s="4" t="s">
        <v>618</v>
      </c>
      <c r="E211" s="2" t="s">
        <v>4</v>
      </c>
      <c r="F211" s="6">
        <v>14.2</v>
      </c>
      <c r="G211" s="6">
        <v>18.149999999999999</v>
      </c>
      <c r="H211" s="6">
        <v>15.3</v>
      </c>
      <c r="I211" s="9">
        <f t="shared" si="8"/>
        <v>15.883333333333331</v>
      </c>
      <c r="J211" s="12">
        <f>15.88*40</f>
        <v>635.20000000000005</v>
      </c>
    </row>
    <row r="212" spans="1:10" ht="120" x14ac:dyDescent="0.25">
      <c r="A212" s="4" t="s">
        <v>619</v>
      </c>
      <c r="B212" s="4">
        <v>120</v>
      </c>
      <c r="C212" s="4" t="s">
        <v>620</v>
      </c>
      <c r="D212" s="4" t="s">
        <v>621</v>
      </c>
      <c r="E212" s="2" t="s">
        <v>4</v>
      </c>
      <c r="F212" s="6"/>
      <c r="G212" s="6">
        <v>11.1</v>
      </c>
      <c r="H212" s="6">
        <v>11.42</v>
      </c>
      <c r="I212" s="9">
        <f>(G212+H212)/2</f>
        <v>11.26</v>
      </c>
      <c r="J212" s="12">
        <f>11.26*120</f>
        <v>1351.2</v>
      </c>
    </row>
    <row r="213" spans="1:10" ht="105" x14ac:dyDescent="0.25">
      <c r="A213" s="4" t="s">
        <v>622</v>
      </c>
      <c r="B213" s="4">
        <v>200</v>
      </c>
      <c r="C213" s="4" t="s">
        <v>623</v>
      </c>
      <c r="D213" s="4" t="s">
        <v>624</v>
      </c>
      <c r="E213" s="2" t="s">
        <v>4</v>
      </c>
      <c r="F213" s="6">
        <v>16.899999999999999</v>
      </c>
      <c r="G213" s="6">
        <v>0</v>
      </c>
      <c r="H213" s="6">
        <v>14.39</v>
      </c>
      <c r="I213" s="9">
        <f>(F213+H213)/2</f>
        <v>15.645</v>
      </c>
      <c r="J213" s="12">
        <f>15.65*200</f>
        <v>3130</v>
      </c>
    </row>
    <row r="214" spans="1:10" ht="150" x14ac:dyDescent="0.25">
      <c r="A214" s="4" t="s">
        <v>625</v>
      </c>
      <c r="B214" s="4">
        <v>4</v>
      </c>
      <c r="C214" s="4" t="s">
        <v>626</v>
      </c>
      <c r="D214" s="4" t="s">
        <v>627</v>
      </c>
      <c r="E214" s="2" t="s">
        <v>198</v>
      </c>
      <c r="F214" s="6">
        <v>220</v>
      </c>
      <c r="G214" s="6">
        <v>274.35000000000002</v>
      </c>
      <c r="H214" s="6">
        <v>199.32</v>
      </c>
      <c r="I214" s="9">
        <f t="shared" si="8"/>
        <v>231.22333333333336</v>
      </c>
      <c r="J214" s="12">
        <f>231.22*4</f>
        <v>924.88</v>
      </c>
    </row>
    <row r="215" spans="1:10" ht="150" x14ac:dyDescent="0.25">
      <c r="A215" s="4" t="s">
        <v>628</v>
      </c>
      <c r="B215" s="4">
        <v>5000</v>
      </c>
      <c r="C215" s="4" t="s">
        <v>629</v>
      </c>
      <c r="D215" s="4" t="s">
        <v>630</v>
      </c>
      <c r="E215" s="2"/>
      <c r="F215" s="6">
        <v>0.45</v>
      </c>
      <c r="G215" s="6">
        <v>0.25</v>
      </c>
      <c r="H215" s="6">
        <v>0.42</v>
      </c>
      <c r="I215" s="9">
        <f t="shared" si="8"/>
        <v>0.37333333333333329</v>
      </c>
      <c r="J215" s="12">
        <f>0.37*5000</f>
        <v>1850</v>
      </c>
    </row>
    <row r="216" spans="1:10" ht="150" x14ac:dyDescent="0.25">
      <c r="A216" s="4" t="s">
        <v>631</v>
      </c>
      <c r="B216" s="4">
        <v>700</v>
      </c>
      <c r="C216" s="4" t="s">
        <v>632</v>
      </c>
      <c r="D216" s="4" t="s">
        <v>633</v>
      </c>
      <c r="E216" s="2" t="s">
        <v>4</v>
      </c>
      <c r="F216" s="6"/>
      <c r="G216" s="6">
        <v>0.49</v>
      </c>
      <c r="H216" s="6">
        <v>0.43</v>
      </c>
      <c r="I216" s="9">
        <f>(G216+H216)/2</f>
        <v>0.45999999999999996</v>
      </c>
      <c r="J216" s="12">
        <f>0.46*700</f>
        <v>322</v>
      </c>
    </row>
    <row r="217" spans="1:10" ht="150" x14ac:dyDescent="0.25">
      <c r="A217" s="4" t="s">
        <v>634</v>
      </c>
      <c r="B217" s="4">
        <v>1000</v>
      </c>
      <c r="C217" s="4" t="s">
        <v>635</v>
      </c>
      <c r="D217" s="4" t="s">
        <v>636</v>
      </c>
      <c r="E217" s="2" t="s">
        <v>4</v>
      </c>
      <c r="F217" s="6">
        <v>0.95</v>
      </c>
      <c r="G217" s="6">
        <v>0.78</v>
      </c>
      <c r="H217" s="6">
        <v>0.83</v>
      </c>
      <c r="I217" s="9">
        <f t="shared" si="8"/>
        <v>0.85333333333333339</v>
      </c>
      <c r="J217" s="12">
        <f>0.85*1000</f>
        <v>850</v>
      </c>
    </row>
    <row r="218" spans="1:10" ht="135" x14ac:dyDescent="0.25">
      <c r="A218" s="4" t="s">
        <v>637</v>
      </c>
      <c r="B218" s="4">
        <v>20</v>
      </c>
      <c r="C218" s="4" t="s">
        <v>638</v>
      </c>
      <c r="D218" s="4" t="s">
        <v>639</v>
      </c>
      <c r="E218" s="2" t="s">
        <v>4</v>
      </c>
      <c r="F218" s="6">
        <v>24.3</v>
      </c>
      <c r="G218" s="6"/>
      <c r="H218" s="6">
        <v>25.09</v>
      </c>
      <c r="I218" s="9">
        <f>(F218+H218)/2</f>
        <v>24.695</v>
      </c>
      <c r="J218" s="12">
        <f>24.7*20</f>
        <v>494</v>
      </c>
    </row>
    <row r="219" spans="1:10" ht="120" x14ac:dyDescent="0.25">
      <c r="A219" s="4" t="s">
        <v>640</v>
      </c>
      <c r="B219" s="4">
        <v>80</v>
      </c>
      <c r="C219" s="4" t="s">
        <v>641</v>
      </c>
      <c r="D219" s="4" t="s">
        <v>642</v>
      </c>
      <c r="E219" s="2" t="s">
        <v>58</v>
      </c>
      <c r="F219" s="6">
        <v>19.600000000000001</v>
      </c>
      <c r="G219" s="6">
        <v>23.9</v>
      </c>
      <c r="H219" s="6">
        <v>17.75</v>
      </c>
      <c r="I219" s="9">
        <f t="shared" si="8"/>
        <v>20.416666666666668</v>
      </c>
      <c r="J219" s="12">
        <f>20.42*80</f>
        <v>1633.6000000000001</v>
      </c>
    </row>
    <row r="220" spans="1:10" ht="150" x14ac:dyDescent="0.25">
      <c r="A220" s="4" t="s">
        <v>643</v>
      </c>
      <c r="B220" s="4">
        <v>40</v>
      </c>
      <c r="C220" s="4" t="s">
        <v>644</v>
      </c>
      <c r="D220" s="4" t="s">
        <v>645</v>
      </c>
      <c r="E220" s="2" t="s">
        <v>4</v>
      </c>
      <c r="F220" s="6">
        <v>9.5</v>
      </c>
      <c r="G220" s="6">
        <v>12.33</v>
      </c>
      <c r="H220" s="6">
        <v>9.1999999999999993</v>
      </c>
      <c r="I220" s="9">
        <f t="shared" si="8"/>
        <v>10.343333333333332</v>
      </c>
      <c r="J220" s="12">
        <f>10.34*40</f>
        <v>413.6</v>
      </c>
    </row>
    <row r="221" spans="1:10" ht="90" x14ac:dyDescent="0.25">
      <c r="A221" s="4" t="s">
        <v>646</v>
      </c>
      <c r="B221" s="4">
        <v>350</v>
      </c>
      <c r="C221" s="4" t="s">
        <v>647</v>
      </c>
      <c r="D221" s="4" t="s">
        <v>648</v>
      </c>
      <c r="E221" s="2" t="s">
        <v>4</v>
      </c>
      <c r="F221" s="6">
        <v>4.0999999999999996</v>
      </c>
      <c r="G221" s="6">
        <v>5.0999999999999996</v>
      </c>
      <c r="H221" s="6">
        <v>0</v>
      </c>
      <c r="I221" s="9">
        <f>(F221+G221)/2</f>
        <v>4.5999999999999996</v>
      </c>
      <c r="J221" s="12">
        <f>4.6*350</f>
        <v>1609.9999999999998</v>
      </c>
    </row>
    <row r="222" spans="1:10" ht="150" x14ac:dyDescent="0.25">
      <c r="A222" s="4" t="s">
        <v>649</v>
      </c>
      <c r="B222" s="4">
        <v>10</v>
      </c>
      <c r="C222" s="4" t="s">
        <v>650</v>
      </c>
      <c r="D222" s="4" t="s">
        <v>651</v>
      </c>
      <c r="E222" s="2" t="s">
        <v>4</v>
      </c>
      <c r="F222" s="6">
        <v>42</v>
      </c>
      <c r="G222" s="6">
        <v>41.2</v>
      </c>
      <c r="H222" s="6">
        <v>42.66</v>
      </c>
      <c r="I222" s="9">
        <f t="shared" si="8"/>
        <v>41.953333333333333</v>
      </c>
      <c r="J222" s="12">
        <f>41.95*10</f>
        <v>419.5</v>
      </c>
    </row>
    <row r="223" spans="1:10" ht="150" x14ac:dyDescent="0.25">
      <c r="A223" s="4" t="s">
        <v>652</v>
      </c>
      <c r="B223" s="4">
        <v>10</v>
      </c>
      <c r="C223" s="4" t="s">
        <v>653</v>
      </c>
      <c r="D223" s="4" t="s">
        <v>654</v>
      </c>
      <c r="E223" s="2" t="s">
        <v>198</v>
      </c>
      <c r="F223" s="6">
        <v>41.5</v>
      </c>
      <c r="G223" s="6">
        <v>59.21</v>
      </c>
      <c r="H223" s="6">
        <v>40.409999999999997</v>
      </c>
      <c r="I223" s="9">
        <f t="shared" si="8"/>
        <v>47.04</v>
      </c>
      <c r="J223" s="12">
        <f>47.04*10</f>
        <v>470.4</v>
      </c>
    </row>
    <row r="224" spans="1:10" ht="105" x14ac:dyDescent="0.25">
      <c r="A224" s="4" t="s">
        <v>655</v>
      </c>
      <c r="B224" s="4">
        <v>300</v>
      </c>
      <c r="C224" s="4" t="s">
        <v>656</v>
      </c>
      <c r="D224" s="4" t="s">
        <v>657</v>
      </c>
      <c r="E224" s="2" t="s">
        <v>4</v>
      </c>
      <c r="F224" s="6">
        <v>6.5</v>
      </c>
      <c r="G224" s="6">
        <v>6.81</v>
      </c>
      <c r="H224" s="6">
        <v>5.72</v>
      </c>
      <c r="I224" s="9">
        <f t="shared" si="8"/>
        <v>6.3433333333333328</v>
      </c>
      <c r="J224" s="12">
        <f>6.34*300</f>
        <v>1902</v>
      </c>
    </row>
    <row r="225" spans="1:10" ht="105" x14ac:dyDescent="0.25">
      <c r="A225" s="4" t="s">
        <v>658</v>
      </c>
      <c r="B225" s="4">
        <v>100</v>
      </c>
      <c r="C225" s="4" t="s">
        <v>659</v>
      </c>
      <c r="D225" s="4" t="s">
        <v>660</v>
      </c>
      <c r="E225" s="2" t="s">
        <v>33</v>
      </c>
      <c r="F225" s="6">
        <v>49.6</v>
      </c>
      <c r="G225" s="6">
        <v>51.8</v>
      </c>
      <c r="H225" s="6">
        <v>45.63</v>
      </c>
      <c r="I225" s="9">
        <f t="shared" si="8"/>
        <v>49.01</v>
      </c>
      <c r="J225" s="12">
        <f>49.01*100</f>
        <v>4901</v>
      </c>
    </row>
    <row r="226" spans="1:10" ht="105" x14ac:dyDescent="0.25">
      <c r="A226" s="4" t="s">
        <v>661</v>
      </c>
      <c r="B226" s="4">
        <v>2</v>
      </c>
      <c r="C226" s="4" t="s">
        <v>662</v>
      </c>
      <c r="D226" s="4" t="s">
        <v>663</v>
      </c>
      <c r="E226" s="2" t="s">
        <v>4</v>
      </c>
      <c r="F226" s="6">
        <v>22</v>
      </c>
      <c r="G226" s="6">
        <v>28.9</v>
      </c>
      <c r="H226" s="6">
        <v>18.100000000000001</v>
      </c>
      <c r="I226" s="9">
        <f t="shared" si="8"/>
        <v>23</v>
      </c>
      <c r="J226" s="12">
        <f>23*2</f>
        <v>46</v>
      </c>
    </row>
    <row r="227" spans="1:10" ht="135" x14ac:dyDescent="0.25">
      <c r="A227" s="4" t="s">
        <v>664</v>
      </c>
      <c r="B227" s="4">
        <v>5</v>
      </c>
      <c r="C227" s="4" t="s">
        <v>665</v>
      </c>
      <c r="D227" s="4" t="s">
        <v>666</v>
      </c>
      <c r="E227" s="2" t="s">
        <v>4</v>
      </c>
      <c r="F227" s="6">
        <v>12.6</v>
      </c>
      <c r="G227" s="6">
        <v>18.2</v>
      </c>
      <c r="H227" s="6">
        <v>10.65</v>
      </c>
      <c r="I227" s="9">
        <f t="shared" si="8"/>
        <v>13.816666666666665</v>
      </c>
      <c r="J227" s="12">
        <f>13.82*5</f>
        <v>69.099999999999994</v>
      </c>
    </row>
    <row r="228" spans="1:10" ht="135" x14ac:dyDescent="0.25">
      <c r="A228" s="4" t="s">
        <v>667</v>
      </c>
      <c r="B228" s="4">
        <v>20</v>
      </c>
      <c r="C228" s="4" t="s">
        <v>668</v>
      </c>
      <c r="D228" s="4" t="s">
        <v>669</v>
      </c>
      <c r="E228" s="2" t="s">
        <v>4</v>
      </c>
      <c r="F228" s="6">
        <v>23.4</v>
      </c>
      <c r="G228" s="6">
        <v>23.97</v>
      </c>
      <c r="H228" s="6">
        <v>19.11</v>
      </c>
      <c r="I228" s="9">
        <f t="shared" si="8"/>
        <v>22.159999999999997</v>
      </c>
      <c r="J228" s="12">
        <f>22.16*20</f>
        <v>443.2</v>
      </c>
    </row>
    <row r="229" spans="1:10" ht="135" x14ac:dyDescent="0.25">
      <c r="A229" s="4" t="s">
        <v>670</v>
      </c>
      <c r="B229" s="4">
        <v>20</v>
      </c>
      <c r="C229" s="4" t="s">
        <v>671</v>
      </c>
      <c r="D229" s="4" t="s">
        <v>672</v>
      </c>
      <c r="E229" s="2" t="s">
        <v>4</v>
      </c>
      <c r="F229" s="6">
        <v>23.4</v>
      </c>
      <c r="G229" s="6">
        <v>23.97</v>
      </c>
      <c r="H229" s="6">
        <v>27.25</v>
      </c>
      <c r="I229" s="9">
        <f t="shared" si="8"/>
        <v>24.873333333333335</v>
      </c>
      <c r="J229" s="12">
        <f>24.87*20</f>
        <v>497.40000000000003</v>
      </c>
    </row>
    <row r="230" spans="1:10" ht="120" x14ac:dyDescent="0.25">
      <c r="A230" s="4" t="s">
        <v>673</v>
      </c>
      <c r="B230" s="4">
        <v>30</v>
      </c>
      <c r="C230" s="4" t="s">
        <v>674</v>
      </c>
      <c r="D230" s="4" t="s">
        <v>675</v>
      </c>
      <c r="E230" s="2" t="s">
        <v>65</v>
      </c>
      <c r="F230" s="6">
        <v>9.5</v>
      </c>
      <c r="G230" s="6">
        <v>10.56</v>
      </c>
      <c r="H230" s="6">
        <v>15.69</v>
      </c>
      <c r="I230" s="9">
        <f t="shared" si="8"/>
        <v>11.916666666666666</v>
      </c>
      <c r="J230" s="12">
        <f>11.92*30</f>
        <v>357.6</v>
      </c>
    </row>
    <row r="231" spans="1:10" ht="165" x14ac:dyDescent="0.25">
      <c r="A231" s="4" t="s">
        <v>676</v>
      </c>
      <c r="B231" s="4">
        <v>20</v>
      </c>
      <c r="C231" s="4" t="s">
        <v>677</v>
      </c>
      <c r="D231" s="4" t="s">
        <v>678</v>
      </c>
      <c r="E231" s="2" t="s">
        <v>33</v>
      </c>
      <c r="F231" s="6">
        <v>14.9</v>
      </c>
      <c r="G231" s="6">
        <v>22.78</v>
      </c>
      <c r="H231" s="6">
        <v>8.19</v>
      </c>
      <c r="I231" s="9">
        <f t="shared" si="8"/>
        <v>15.29</v>
      </c>
      <c r="J231" s="12">
        <f>15.29*20</f>
        <v>305.79999999999995</v>
      </c>
    </row>
    <row r="232" spans="1:10" ht="120" x14ac:dyDescent="0.25">
      <c r="A232" s="4" t="s">
        <v>679</v>
      </c>
      <c r="B232" s="4">
        <v>40</v>
      </c>
      <c r="C232" s="4" t="s">
        <v>680</v>
      </c>
      <c r="D232" s="4" t="s">
        <v>681</v>
      </c>
      <c r="E232" s="2" t="s">
        <v>65</v>
      </c>
      <c r="F232" s="6">
        <v>5.6</v>
      </c>
      <c r="G232" s="6"/>
      <c r="H232" s="6">
        <v>4.4800000000000004</v>
      </c>
      <c r="I232" s="9">
        <f>(F232+H232)/2</f>
        <v>5.04</v>
      </c>
      <c r="J232" s="12">
        <f>5.04*40</f>
        <v>201.6</v>
      </c>
    </row>
    <row r="233" spans="1:10" ht="105" x14ac:dyDescent="0.25">
      <c r="A233" s="4" t="s">
        <v>682</v>
      </c>
      <c r="B233" s="4">
        <v>50</v>
      </c>
      <c r="C233" s="4" t="s">
        <v>683</v>
      </c>
      <c r="D233" s="4" t="s">
        <v>684</v>
      </c>
      <c r="E233" s="2" t="s">
        <v>4</v>
      </c>
      <c r="F233" s="6">
        <v>16.8</v>
      </c>
      <c r="G233" s="6">
        <v>10.09</v>
      </c>
      <c r="H233" s="6"/>
      <c r="I233" s="9">
        <f>(F233+G233)/2</f>
        <v>13.445</v>
      </c>
      <c r="J233" s="12">
        <f>13.45*50</f>
        <v>672.5</v>
      </c>
    </row>
    <row r="234" spans="1:10" ht="105" x14ac:dyDescent="0.25">
      <c r="A234" s="4" t="s">
        <v>685</v>
      </c>
      <c r="B234" s="4">
        <v>15</v>
      </c>
      <c r="C234" s="4" t="s">
        <v>686</v>
      </c>
      <c r="D234" s="4" t="s">
        <v>687</v>
      </c>
      <c r="E234" s="2" t="s">
        <v>4</v>
      </c>
      <c r="F234" s="6">
        <v>29</v>
      </c>
      <c r="G234" s="6">
        <v>31.48</v>
      </c>
      <c r="H234" s="6">
        <v>18.66</v>
      </c>
      <c r="I234" s="9">
        <f t="shared" si="8"/>
        <v>26.38</v>
      </c>
      <c r="J234" s="12">
        <f>26.38*15</f>
        <v>395.7</v>
      </c>
    </row>
    <row r="235" spans="1:10" ht="120" x14ac:dyDescent="0.25">
      <c r="A235" s="4" t="s">
        <v>688</v>
      </c>
      <c r="B235" s="4">
        <v>15</v>
      </c>
      <c r="C235" s="4" t="s">
        <v>689</v>
      </c>
      <c r="D235" s="4" t="s">
        <v>690</v>
      </c>
      <c r="E235" s="2" t="s">
        <v>4</v>
      </c>
      <c r="F235" s="6">
        <v>16.899999999999999</v>
      </c>
      <c r="G235" s="6">
        <v>0</v>
      </c>
      <c r="H235" s="6">
        <v>0</v>
      </c>
      <c r="I235" s="9">
        <f>(F235)/1</f>
        <v>16.899999999999999</v>
      </c>
      <c r="J235" s="12">
        <f>16.9*15</f>
        <v>253.49999999999997</v>
      </c>
    </row>
    <row r="236" spans="1:10" ht="150" x14ac:dyDescent="0.25">
      <c r="A236" s="4" t="s">
        <v>691</v>
      </c>
      <c r="B236" s="4">
        <v>15</v>
      </c>
      <c r="C236" s="4" t="s">
        <v>692</v>
      </c>
      <c r="D236" s="4" t="s">
        <v>693</v>
      </c>
      <c r="E236" s="2" t="s">
        <v>4</v>
      </c>
      <c r="F236" s="6">
        <v>39.4</v>
      </c>
      <c r="G236" s="6">
        <v>54.51</v>
      </c>
      <c r="H236" s="6">
        <v>38.9</v>
      </c>
      <c r="I236" s="9">
        <f t="shared" si="8"/>
        <v>44.27</v>
      </c>
      <c r="J236" s="12">
        <f>44.27*15</f>
        <v>664.05000000000007</v>
      </c>
    </row>
    <row r="237" spans="1:10" x14ac:dyDescent="0.25">
      <c r="I237" s="7">
        <f>SUM(I3:I236)</f>
        <v>8825.6766666666663</v>
      </c>
      <c r="J237" s="13">
        <f>SUM(J3:J236)</f>
        <v>357157.20999999996</v>
      </c>
    </row>
    <row r="238" spans="1:10" x14ac:dyDescent="0.25">
      <c r="J238" s="14"/>
    </row>
  </sheetData>
  <pageMargins left="0.25" right="0.25" top="0.75" bottom="0.75" header="0.3" footer="0.3"/>
  <pageSetup paperSize="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dc:creator>
  <cp:lastModifiedBy>Rafaela Ferreira</cp:lastModifiedBy>
  <cp:lastPrinted>2019-06-11T19:15:41Z</cp:lastPrinted>
  <dcterms:created xsi:type="dcterms:W3CDTF">2019-05-23T14:11:21Z</dcterms:created>
  <dcterms:modified xsi:type="dcterms:W3CDTF">2019-07-04T18:38:41Z</dcterms:modified>
</cp:coreProperties>
</file>