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40" yWindow="0" windowWidth="20730" windowHeight="11760" firstSheet="1" activeTab="5"/>
  </bookViews>
  <sheets>
    <sheet name="1 - mat elétrico OK" sheetId="11" r:id="rId1"/>
    <sheet name="2 - Hidrossanitário OK" sheetId="12" r:id="rId2"/>
    <sheet name="3 -madeiras OK" sheetId="13" r:id="rId3"/>
    <sheet name="4 - PINTURAS OK" sheetId="14" r:id="rId4"/>
    <sheet name="5 -Mat. Pesado" sheetId="6" r:id="rId5"/>
    <sheet name="Planilha6" sheetId="15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0" i="11" l="1"/>
  <c r="T80" i="11"/>
  <c r="V80" i="11"/>
  <c r="X80" i="11"/>
  <c r="Z80" i="11"/>
  <c r="R81" i="11"/>
  <c r="T81" i="11"/>
  <c r="V81" i="11"/>
  <c r="X81" i="11"/>
  <c r="Z81" i="11"/>
  <c r="R82" i="11"/>
  <c r="T82" i="11"/>
  <c r="V82" i="11"/>
  <c r="X82" i="11"/>
  <c r="Z82" i="11"/>
  <c r="I9" i="15" l="1"/>
  <c r="H9" i="15"/>
  <c r="G9" i="15"/>
  <c r="F9" i="15"/>
  <c r="E9" i="15"/>
  <c r="D9" i="15"/>
  <c r="I8" i="15"/>
  <c r="H8" i="15"/>
  <c r="G8" i="15"/>
  <c r="F8" i="15"/>
  <c r="E8" i="15"/>
  <c r="D8" i="15"/>
  <c r="I7" i="15"/>
  <c r="H7" i="15"/>
  <c r="G7" i="15"/>
  <c r="F7" i="15"/>
  <c r="E7" i="15"/>
  <c r="D7" i="15"/>
  <c r="I6" i="15"/>
  <c r="H6" i="15"/>
  <c r="G6" i="15"/>
  <c r="F6" i="15"/>
  <c r="E6" i="15"/>
  <c r="D6" i="15"/>
  <c r="C9" i="15" l="1"/>
  <c r="C8" i="15"/>
  <c r="C7" i="15"/>
  <c r="C5" i="15"/>
  <c r="C6" i="15"/>
  <c r="D409" i="6"/>
  <c r="T408" i="6"/>
  <c r="V408" i="6"/>
  <c r="X408" i="6"/>
  <c r="Z408" i="6"/>
  <c r="R408" i="6"/>
  <c r="G149" i="6"/>
  <c r="F148" i="6"/>
  <c r="F149" i="6"/>
  <c r="V149" i="6" s="1"/>
  <c r="E134" i="6"/>
  <c r="F134" i="6"/>
  <c r="G134" i="6"/>
  <c r="E19" i="6"/>
  <c r="F19" i="6"/>
  <c r="G19" i="6"/>
  <c r="E21" i="6"/>
  <c r="F21" i="6"/>
  <c r="G21" i="6"/>
  <c r="E23" i="6"/>
  <c r="F23" i="6"/>
  <c r="G23" i="6"/>
  <c r="E24" i="6"/>
  <c r="F24" i="6"/>
  <c r="G24" i="6"/>
  <c r="E27" i="6"/>
  <c r="F27" i="6"/>
  <c r="G27" i="6"/>
  <c r="E77" i="6"/>
  <c r="F77" i="6"/>
  <c r="G77" i="6"/>
  <c r="E209" i="6"/>
  <c r="F209" i="6"/>
  <c r="G209" i="6"/>
  <c r="E204" i="6"/>
  <c r="F204" i="6"/>
  <c r="G204" i="6"/>
  <c r="E200" i="6"/>
  <c r="F200" i="6"/>
  <c r="G200" i="6"/>
  <c r="E202" i="6"/>
  <c r="F202" i="6"/>
  <c r="G202" i="6"/>
  <c r="E203" i="6"/>
  <c r="F203" i="6"/>
  <c r="G203" i="6"/>
  <c r="E206" i="6"/>
  <c r="F206" i="6"/>
  <c r="G206" i="6"/>
  <c r="E194" i="6"/>
  <c r="F194" i="6"/>
  <c r="G194" i="6"/>
  <c r="E207" i="6"/>
  <c r="F207" i="6"/>
  <c r="G207" i="6"/>
  <c r="E205" i="6"/>
  <c r="F205" i="6"/>
  <c r="G205" i="6"/>
  <c r="E201" i="6"/>
  <c r="F201" i="6"/>
  <c r="G201" i="6"/>
  <c r="E195" i="6"/>
  <c r="F195" i="6"/>
  <c r="G195" i="6"/>
  <c r="E46" i="6"/>
  <c r="F46" i="6"/>
  <c r="G46" i="6"/>
  <c r="E45" i="6"/>
  <c r="F45" i="6"/>
  <c r="G45" i="6"/>
  <c r="E265" i="6"/>
  <c r="F265" i="6"/>
  <c r="G265" i="6"/>
  <c r="E264" i="6"/>
  <c r="F264" i="6"/>
  <c r="G264" i="6"/>
  <c r="E266" i="6"/>
  <c r="F266" i="6"/>
  <c r="G266" i="6"/>
  <c r="E69" i="6"/>
  <c r="F69" i="6"/>
  <c r="G69" i="6"/>
  <c r="E70" i="6"/>
  <c r="F70" i="6"/>
  <c r="G70" i="6"/>
  <c r="E71" i="6"/>
  <c r="F71" i="6"/>
  <c r="G71" i="6"/>
  <c r="E75" i="6"/>
  <c r="F75" i="6"/>
  <c r="G75" i="6"/>
  <c r="E80" i="6"/>
  <c r="F80" i="6"/>
  <c r="G80" i="6"/>
  <c r="E82" i="6"/>
  <c r="F82" i="6"/>
  <c r="G82" i="6"/>
  <c r="E101" i="6"/>
  <c r="F101" i="6"/>
  <c r="G101" i="6"/>
  <c r="E103" i="6"/>
  <c r="F103" i="6"/>
  <c r="G103" i="6"/>
  <c r="E100" i="6"/>
  <c r="F100" i="6"/>
  <c r="G100" i="6"/>
  <c r="E102" i="6"/>
  <c r="F102" i="6"/>
  <c r="G102" i="6"/>
  <c r="E153" i="6"/>
  <c r="F153" i="6"/>
  <c r="G153" i="6"/>
  <c r="E113" i="6"/>
  <c r="F113" i="6"/>
  <c r="G113" i="6"/>
  <c r="E116" i="6"/>
  <c r="F116" i="6"/>
  <c r="G116" i="6"/>
  <c r="E117" i="6"/>
  <c r="F117" i="6"/>
  <c r="G117" i="6"/>
  <c r="E118" i="6"/>
  <c r="F118" i="6"/>
  <c r="G118" i="6"/>
  <c r="E112" i="6"/>
  <c r="F112" i="6"/>
  <c r="G112" i="6"/>
  <c r="E123" i="6"/>
  <c r="F123" i="6"/>
  <c r="G123" i="6"/>
  <c r="E132" i="6"/>
  <c r="F132" i="6"/>
  <c r="G132" i="6"/>
  <c r="E167" i="6"/>
  <c r="F167" i="6"/>
  <c r="G167" i="6"/>
  <c r="E137" i="6"/>
  <c r="F137" i="6"/>
  <c r="G137" i="6"/>
  <c r="E136" i="6"/>
  <c r="F136" i="6"/>
  <c r="G136" i="6"/>
  <c r="E138" i="6"/>
  <c r="F138" i="6"/>
  <c r="G138" i="6"/>
  <c r="E145" i="6"/>
  <c r="F145" i="6"/>
  <c r="G145" i="6"/>
  <c r="E146" i="6"/>
  <c r="F146" i="6"/>
  <c r="G146" i="6"/>
  <c r="E144" i="6"/>
  <c r="F144" i="6"/>
  <c r="G144" i="6"/>
  <c r="E147" i="6"/>
  <c r="F147" i="6"/>
  <c r="G147" i="6"/>
  <c r="E142" i="6"/>
  <c r="F142" i="6"/>
  <c r="G142" i="6"/>
  <c r="E143" i="6"/>
  <c r="F143" i="6"/>
  <c r="G143" i="6"/>
  <c r="E141" i="6"/>
  <c r="F141" i="6"/>
  <c r="G141" i="6"/>
  <c r="E161" i="6"/>
  <c r="F161" i="6"/>
  <c r="G161" i="6"/>
  <c r="E162" i="6"/>
  <c r="F162" i="6"/>
  <c r="G162" i="6"/>
  <c r="E160" i="6"/>
  <c r="F160" i="6"/>
  <c r="G160" i="6"/>
  <c r="E164" i="6"/>
  <c r="F164" i="6"/>
  <c r="G164" i="6"/>
  <c r="E222" i="6"/>
  <c r="F222" i="6"/>
  <c r="G222" i="6"/>
  <c r="E223" i="6"/>
  <c r="F223" i="6"/>
  <c r="G223" i="6"/>
  <c r="E229" i="6"/>
  <c r="F229" i="6"/>
  <c r="G229" i="6"/>
  <c r="E230" i="6"/>
  <c r="F230" i="6"/>
  <c r="G230" i="6"/>
  <c r="E228" i="6"/>
  <c r="F228" i="6"/>
  <c r="G228" i="6"/>
  <c r="E224" i="6"/>
  <c r="F224" i="6"/>
  <c r="G224" i="6"/>
  <c r="E225" i="6"/>
  <c r="F225" i="6"/>
  <c r="G225" i="6"/>
  <c r="E226" i="6"/>
  <c r="F226" i="6"/>
  <c r="G226" i="6"/>
  <c r="E285" i="6"/>
  <c r="F285" i="6"/>
  <c r="G285" i="6"/>
  <c r="E227" i="6"/>
  <c r="F227" i="6"/>
  <c r="G227" i="6"/>
  <c r="E284" i="6"/>
  <c r="F284" i="6"/>
  <c r="G284" i="6"/>
  <c r="E120" i="6"/>
  <c r="F120" i="6"/>
  <c r="G120" i="6"/>
  <c r="E121" i="6"/>
  <c r="F121" i="6"/>
  <c r="G121" i="6"/>
  <c r="E122" i="6"/>
  <c r="F122" i="6"/>
  <c r="G122" i="6"/>
  <c r="E130" i="6"/>
  <c r="F130" i="6"/>
  <c r="G130" i="6"/>
  <c r="E220" i="6"/>
  <c r="F220" i="6"/>
  <c r="G220" i="6"/>
  <c r="E12" i="6"/>
  <c r="F12" i="6"/>
  <c r="G12" i="6"/>
  <c r="E219" i="6"/>
  <c r="F219" i="6"/>
  <c r="G219" i="6"/>
  <c r="E193" i="6"/>
  <c r="F193" i="6"/>
  <c r="G193" i="6"/>
  <c r="E234" i="6"/>
  <c r="F234" i="6"/>
  <c r="G234" i="6"/>
  <c r="E233" i="6"/>
  <c r="F233" i="6"/>
  <c r="G233" i="6"/>
  <c r="E184" i="6"/>
  <c r="F184" i="6"/>
  <c r="G184" i="6"/>
  <c r="E198" i="6"/>
  <c r="F198" i="6"/>
  <c r="G198" i="6"/>
  <c r="E235" i="6"/>
  <c r="F235" i="6"/>
  <c r="G235" i="6"/>
  <c r="E197" i="6"/>
  <c r="F197" i="6"/>
  <c r="G197" i="6"/>
  <c r="E181" i="6"/>
  <c r="F181" i="6"/>
  <c r="G181" i="6"/>
  <c r="E61" i="6"/>
  <c r="F61" i="6"/>
  <c r="G61" i="6"/>
  <c r="E210" i="6"/>
  <c r="F210" i="6"/>
  <c r="G210" i="6"/>
  <c r="E239" i="6"/>
  <c r="F239" i="6"/>
  <c r="G239" i="6"/>
  <c r="E179" i="6"/>
  <c r="F179" i="6"/>
  <c r="G179" i="6"/>
  <c r="E185" i="6"/>
  <c r="F185" i="6"/>
  <c r="G185" i="6"/>
  <c r="E178" i="6"/>
  <c r="F178" i="6"/>
  <c r="G178" i="6"/>
  <c r="E177" i="6"/>
  <c r="F177" i="6"/>
  <c r="G177" i="6"/>
  <c r="E221" i="6"/>
  <c r="F221" i="6"/>
  <c r="G221" i="6"/>
  <c r="E238" i="6"/>
  <c r="F238" i="6"/>
  <c r="G238" i="6"/>
  <c r="E196" i="6"/>
  <c r="F196" i="6"/>
  <c r="G196" i="6"/>
  <c r="E211" i="6"/>
  <c r="F211" i="6"/>
  <c r="G211" i="6"/>
  <c r="E247" i="6"/>
  <c r="F247" i="6"/>
  <c r="G247" i="6"/>
  <c r="E245" i="6"/>
  <c r="F245" i="6"/>
  <c r="G245" i="6"/>
  <c r="E246" i="6"/>
  <c r="F246" i="6"/>
  <c r="G246" i="6"/>
  <c r="E248" i="6"/>
  <c r="F248" i="6"/>
  <c r="G248" i="6"/>
  <c r="E267" i="6"/>
  <c r="F267" i="6"/>
  <c r="G267" i="6"/>
  <c r="E287" i="6"/>
  <c r="F287" i="6"/>
  <c r="G287" i="6"/>
  <c r="E286" i="6"/>
  <c r="F286" i="6"/>
  <c r="G286" i="6"/>
  <c r="E259" i="6"/>
  <c r="F259" i="6"/>
  <c r="G259" i="6"/>
  <c r="E262" i="6"/>
  <c r="F262" i="6"/>
  <c r="G262" i="6"/>
  <c r="E260" i="6"/>
  <c r="F260" i="6"/>
  <c r="G260" i="6"/>
  <c r="E261" i="6"/>
  <c r="F261" i="6"/>
  <c r="G261" i="6"/>
  <c r="E258" i="6"/>
  <c r="F258" i="6"/>
  <c r="G258" i="6"/>
  <c r="E332" i="6"/>
  <c r="F332" i="6"/>
  <c r="G332" i="6"/>
  <c r="E400" i="6"/>
  <c r="F400" i="6"/>
  <c r="G400" i="6"/>
  <c r="E299" i="6"/>
  <c r="F299" i="6"/>
  <c r="G299" i="6"/>
  <c r="E298" i="6"/>
  <c r="F298" i="6"/>
  <c r="G298" i="6"/>
  <c r="E296" i="6"/>
  <c r="F296" i="6"/>
  <c r="G296" i="6"/>
  <c r="E297" i="6"/>
  <c r="F297" i="6"/>
  <c r="G297" i="6"/>
  <c r="E314" i="6"/>
  <c r="F314" i="6"/>
  <c r="G314" i="6"/>
  <c r="E309" i="6"/>
  <c r="F309" i="6"/>
  <c r="G309" i="6"/>
  <c r="E306" i="6"/>
  <c r="F306" i="6"/>
  <c r="G306" i="6"/>
  <c r="E308" i="6"/>
  <c r="F308" i="6"/>
  <c r="G308" i="6"/>
  <c r="E311" i="6"/>
  <c r="F311" i="6"/>
  <c r="G311" i="6"/>
  <c r="E313" i="6"/>
  <c r="F313" i="6"/>
  <c r="G313" i="6"/>
  <c r="E307" i="6"/>
  <c r="F307" i="6"/>
  <c r="G307" i="6"/>
  <c r="E310" i="6"/>
  <c r="F310" i="6"/>
  <c r="G310" i="6"/>
  <c r="E315" i="6"/>
  <c r="F315" i="6"/>
  <c r="G315" i="6"/>
  <c r="E312" i="6"/>
  <c r="F312" i="6"/>
  <c r="G312" i="6"/>
  <c r="E321" i="6"/>
  <c r="F321" i="6"/>
  <c r="G321" i="6"/>
  <c r="E361" i="6"/>
  <c r="F361" i="6"/>
  <c r="G361" i="6"/>
  <c r="E362" i="6"/>
  <c r="F362" i="6"/>
  <c r="G362" i="6"/>
  <c r="E367" i="6"/>
  <c r="F367" i="6"/>
  <c r="G367" i="6"/>
  <c r="E358" i="6"/>
  <c r="F358" i="6"/>
  <c r="G358" i="6"/>
  <c r="E370" i="6"/>
  <c r="F370" i="6"/>
  <c r="G370" i="6"/>
  <c r="E371" i="6"/>
  <c r="F371" i="6"/>
  <c r="G371" i="6"/>
  <c r="E92" i="6"/>
  <c r="F92" i="6"/>
  <c r="G92" i="6"/>
  <c r="E373" i="6"/>
  <c r="F373" i="6"/>
  <c r="G373" i="6"/>
  <c r="E385" i="6"/>
  <c r="F385" i="6"/>
  <c r="G385" i="6"/>
  <c r="E391" i="6"/>
  <c r="F391" i="6"/>
  <c r="G391" i="6"/>
  <c r="E389" i="6"/>
  <c r="F389" i="6"/>
  <c r="G389" i="6"/>
  <c r="E390" i="6"/>
  <c r="F390" i="6"/>
  <c r="G390" i="6"/>
  <c r="E386" i="6"/>
  <c r="F386" i="6"/>
  <c r="G386" i="6"/>
  <c r="E384" i="6"/>
  <c r="F384" i="6"/>
  <c r="G384" i="6"/>
  <c r="E388" i="6"/>
  <c r="F388" i="6"/>
  <c r="G388" i="6"/>
  <c r="E392" i="6"/>
  <c r="F392" i="6"/>
  <c r="G392" i="6"/>
  <c r="E383" i="6"/>
  <c r="F383" i="6"/>
  <c r="G383" i="6"/>
  <c r="E387" i="6"/>
  <c r="F387" i="6"/>
  <c r="G387" i="6"/>
  <c r="E89" i="6"/>
  <c r="F89" i="6"/>
  <c r="G89" i="6"/>
  <c r="E90" i="6"/>
  <c r="F90" i="6"/>
  <c r="G90" i="6"/>
  <c r="E94" i="6"/>
  <c r="F94" i="6"/>
  <c r="G94" i="6"/>
  <c r="E396" i="6"/>
  <c r="F396" i="6"/>
  <c r="G396" i="6"/>
  <c r="E397" i="6"/>
  <c r="F397" i="6"/>
  <c r="G397" i="6"/>
  <c r="E337" i="6"/>
  <c r="F337" i="6"/>
  <c r="G337" i="6"/>
  <c r="E394" i="6"/>
  <c r="F394" i="6"/>
  <c r="G394" i="6"/>
  <c r="E11" i="6"/>
  <c r="F11" i="6"/>
  <c r="G11" i="6"/>
  <c r="E57" i="6"/>
  <c r="F57" i="6"/>
  <c r="G57" i="6"/>
  <c r="E341" i="6"/>
  <c r="F341" i="6"/>
  <c r="G341" i="6"/>
  <c r="E60" i="6"/>
  <c r="F60" i="6"/>
  <c r="G60" i="6"/>
  <c r="E58" i="6"/>
  <c r="F58" i="6"/>
  <c r="G58" i="6"/>
  <c r="E72" i="6"/>
  <c r="F72" i="6"/>
  <c r="G72" i="6"/>
  <c r="E268" i="6"/>
  <c r="F268" i="6"/>
  <c r="G268" i="6"/>
  <c r="E269" i="6"/>
  <c r="F269" i="6"/>
  <c r="G269" i="6"/>
  <c r="E271" i="6"/>
  <c r="F271" i="6"/>
  <c r="G271" i="6"/>
  <c r="E360" i="6"/>
  <c r="F360" i="6"/>
  <c r="G360" i="6"/>
  <c r="E357" i="6"/>
  <c r="F357" i="6"/>
  <c r="G357" i="6"/>
  <c r="E366" i="6"/>
  <c r="F366" i="6"/>
  <c r="G366" i="6"/>
  <c r="E363" i="6"/>
  <c r="F363" i="6"/>
  <c r="G363" i="6"/>
  <c r="E359" i="6"/>
  <c r="F359" i="6"/>
  <c r="G359" i="6"/>
  <c r="E365" i="6"/>
  <c r="F365" i="6"/>
  <c r="G365" i="6"/>
  <c r="E364" i="6"/>
  <c r="F364" i="6"/>
  <c r="G364" i="6"/>
  <c r="E85" i="6"/>
  <c r="F85" i="6"/>
  <c r="G85" i="6"/>
  <c r="E86" i="6"/>
  <c r="F86" i="6"/>
  <c r="G86" i="6"/>
  <c r="E213" i="6"/>
  <c r="F213" i="6"/>
  <c r="G213" i="6"/>
  <c r="E214" i="6"/>
  <c r="F214" i="6"/>
  <c r="G214" i="6"/>
  <c r="E215" i="6"/>
  <c r="F215" i="6"/>
  <c r="G215" i="6"/>
  <c r="E216" i="6"/>
  <c r="F216" i="6"/>
  <c r="G216" i="6"/>
  <c r="E218" i="6"/>
  <c r="F218" i="6"/>
  <c r="G218" i="6"/>
  <c r="E217" i="6"/>
  <c r="F217" i="6"/>
  <c r="G217" i="6"/>
  <c r="E403" i="6"/>
  <c r="F403" i="6"/>
  <c r="G403" i="6"/>
  <c r="E336" i="6"/>
  <c r="F336" i="6"/>
  <c r="G336" i="6"/>
  <c r="E343" i="6"/>
  <c r="F343" i="6"/>
  <c r="G343" i="6"/>
  <c r="E342" i="6"/>
  <c r="F342" i="6"/>
  <c r="G342" i="6"/>
  <c r="E256" i="6"/>
  <c r="F256" i="6"/>
  <c r="G256" i="6"/>
  <c r="E104" i="6"/>
  <c r="F104" i="6"/>
  <c r="G104" i="6"/>
  <c r="E105" i="6"/>
  <c r="F105" i="6"/>
  <c r="G105" i="6"/>
  <c r="E114" i="6"/>
  <c r="F114" i="6"/>
  <c r="G114" i="6"/>
  <c r="E115" i="6"/>
  <c r="F115" i="6"/>
  <c r="G115" i="6"/>
  <c r="E108" i="6"/>
  <c r="F108" i="6"/>
  <c r="G108" i="6"/>
  <c r="E163" i="6"/>
  <c r="F163" i="6"/>
  <c r="G163" i="6"/>
  <c r="E322" i="6"/>
  <c r="F322" i="6"/>
  <c r="G322" i="6"/>
  <c r="E334" i="6"/>
  <c r="F334" i="6"/>
  <c r="G334" i="6"/>
  <c r="E124" i="6"/>
  <c r="F124" i="6"/>
  <c r="G124" i="6"/>
  <c r="E208" i="6"/>
  <c r="F208" i="6"/>
  <c r="G208" i="6"/>
  <c r="E79" i="6"/>
  <c r="F79" i="6"/>
  <c r="G79" i="6"/>
  <c r="E81" i="6"/>
  <c r="F81" i="6"/>
  <c r="G81" i="6"/>
  <c r="E7" i="6"/>
  <c r="F7" i="6"/>
  <c r="G7" i="6"/>
  <c r="E237" i="6"/>
  <c r="F237" i="6"/>
  <c r="G237" i="6"/>
  <c r="E59" i="6"/>
  <c r="F59" i="6"/>
  <c r="G59" i="6"/>
  <c r="E199" i="6"/>
  <c r="F199" i="6"/>
  <c r="G199" i="6"/>
  <c r="E182" i="6"/>
  <c r="F182" i="6"/>
  <c r="G182" i="6"/>
  <c r="E183" i="6"/>
  <c r="F183" i="6"/>
  <c r="G183" i="6"/>
  <c r="E232" i="6"/>
  <c r="F232" i="6"/>
  <c r="G232" i="6"/>
  <c r="E295" i="6"/>
  <c r="F295" i="6"/>
  <c r="G295" i="6"/>
  <c r="E300" i="6"/>
  <c r="F300" i="6"/>
  <c r="G300" i="6"/>
  <c r="E340" i="6"/>
  <c r="F340" i="6"/>
  <c r="G340" i="6"/>
  <c r="E180" i="6"/>
  <c r="F180" i="6"/>
  <c r="G180" i="6"/>
  <c r="E74" i="6"/>
  <c r="F74" i="6"/>
  <c r="G74" i="6"/>
  <c r="E236" i="6"/>
  <c r="F236" i="6"/>
  <c r="G236" i="6"/>
  <c r="E139" i="6"/>
  <c r="F139" i="6"/>
  <c r="G139" i="6"/>
  <c r="E251" i="6"/>
  <c r="F251" i="6"/>
  <c r="G251" i="6"/>
  <c r="E294" i="6"/>
  <c r="F294" i="6"/>
  <c r="G294" i="6"/>
  <c r="E335" i="6"/>
  <c r="F335" i="6"/>
  <c r="G335" i="6"/>
  <c r="E91" i="6"/>
  <c r="F91" i="6"/>
  <c r="G91" i="6"/>
  <c r="E87" i="6"/>
  <c r="F87" i="6"/>
  <c r="G87" i="6"/>
  <c r="E333" i="6"/>
  <c r="F333" i="6"/>
  <c r="G333" i="6"/>
  <c r="E272" i="6"/>
  <c r="F272" i="6"/>
  <c r="G272" i="6"/>
  <c r="E107" i="6"/>
  <c r="F107" i="6"/>
  <c r="G107" i="6"/>
  <c r="E369" i="6"/>
  <c r="F369" i="6"/>
  <c r="G369" i="6"/>
  <c r="E270" i="6"/>
  <c r="F270" i="6"/>
  <c r="G270" i="6"/>
  <c r="E25" i="6"/>
  <c r="F25" i="6"/>
  <c r="G25" i="6"/>
  <c r="E393" i="6"/>
  <c r="F393" i="6"/>
  <c r="G393" i="6"/>
  <c r="E395" i="6"/>
  <c r="F395" i="6"/>
  <c r="G395" i="6"/>
  <c r="E377" i="6"/>
  <c r="F377" i="6"/>
  <c r="G377" i="6"/>
  <c r="E378" i="6"/>
  <c r="F378" i="6"/>
  <c r="G378" i="6"/>
  <c r="E379" i="6"/>
  <c r="F379" i="6"/>
  <c r="G379" i="6"/>
  <c r="E380" i="6"/>
  <c r="F380" i="6"/>
  <c r="G380" i="6"/>
  <c r="E381" i="6"/>
  <c r="F381" i="6"/>
  <c r="G381" i="6"/>
  <c r="E382" i="6"/>
  <c r="F382" i="6"/>
  <c r="G382" i="6"/>
  <c r="E350" i="6"/>
  <c r="F350" i="6"/>
  <c r="G350" i="6"/>
  <c r="E351" i="6"/>
  <c r="F351" i="6"/>
  <c r="G351" i="6"/>
  <c r="E354" i="6"/>
  <c r="F354" i="6"/>
  <c r="G354" i="6"/>
  <c r="E355" i="6"/>
  <c r="F355" i="6"/>
  <c r="G355" i="6"/>
  <c r="E353" i="6"/>
  <c r="F353" i="6"/>
  <c r="G353" i="6"/>
  <c r="E76" i="6"/>
  <c r="F76" i="6"/>
  <c r="G76" i="6"/>
  <c r="E44" i="6"/>
  <c r="F44" i="6"/>
  <c r="G44" i="6"/>
  <c r="E43" i="6"/>
  <c r="F43" i="6"/>
  <c r="G43" i="6"/>
  <c r="E41" i="6"/>
  <c r="F41" i="6"/>
  <c r="G41" i="6"/>
  <c r="E280" i="6"/>
  <c r="F280" i="6"/>
  <c r="G280" i="6"/>
  <c r="E125" i="6"/>
  <c r="F125" i="6"/>
  <c r="G125" i="6"/>
  <c r="E126" i="6"/>
  <c r="F126" i="6"/>
  <c r="G126" i="6"/>
  <c r="E127" i="6"/>
  <c r="F127" i="6"/>
  <c r="G127" i="6"/>
  <c r="E8" i="6"/>
  <c r="F8" i="6"/>
  <c r="G8" i="6"/>
  <c r="E331" i="6"/>
  <c r="F331" i="6"/>
  <c r="G331" i="6"/>
  <c r="E368" i="6"/>
  <c r="F368" i="6"/>
  <c r="G368" i="6"/>
  <c r="E26" i="6"/>
  <c r="F26" i="6"/>
  <c r="G26" i="6"/>
  <c r="E352" i="6"/>
  <c r="F352" i="6"/>
  <c r="G352" i="6"/>
  <c r="E154" i="6"/>
  <c r="F154" i="6"/>
  <c r="G154" i="6"/>
  <c r="E346" i="6"/>
  <c r="F346" i="6"/>
  <c r="G346" i="6"/>
  <c r="E404" i="6"/>
  <c r="F404" i="6"/>
  <c r="G404" i="6"/>
  <c r="E273" i="6"/>
  <c r="F273" i="6"/>
  <c r="G273" i="6"/>
  <c r="E281" i="6"/>
  <c r="F281" i="6"/>
  <c r="G281" i="6"/>
  <c r="E282" i="6"/>
  <c r="F282" i="6"/>
  <c r="G282" i="6"/>
  <c r="E95" i="6"/>
  <c r="F95" i="6"/>
  <c r="G95" i="6"/>
  <c r="E328" i="6"/>
  <c r="F328" i="6"/>
  <c r="G328" i="6"/>
  <c r="E30" i="6"/>
  <c r="F30" i="6"/>
  <c r="G30" i="6"/>
  <c r="E319" i="6"/>
  <c r="F319" i="6"/>
  <c r="G319" i="6"/>
  <c r="E320" i="6"/>
  <c r="F320" i="6"/>
  <c r="G320" i="6"/>
  <c r="E316" i="6"/>
  <c r="F316" i="6"/>
  <c r="G316" i="6"/>
  <c r="E186" i="6"/>
  <c r="F186" i="6"/>
  <c r="G186" i="6"/>
  <c r="E187" i="6"/>
  <c r="F187" i="6"/>
  <c r="G187" i="6"/>
  <c r="E188" i="6"/>
  <c r="F188" i="6"/>
  <c r="G188" i="6"/>
  <c r="E189" i="6"/>
  <c r="F189" i="6"/>
  <c r="G189" i="6"/>
  <c r="E190" i="6"/>
  <c r="F190" i="6"/>
  <c r="G190" i="6"/>
  <c r="E191" i="6"/>
  <c r="F191" i="6"/>
  <c r="G191" i="6"/>
  <c r="E192" i="6"/>
  <c r="F192" i="6"/>
  <c r="G192" i="6"/>
  <c r="E140" i="6"/>
  <c r="F140" i="6"/>
  <c r="G140" i="6"/>
  <c r="E289" i="6"/>
  <c r="F289" i="6"/>
  <c r="G289" i="6"/>
  <c r="E290" i="6"/>
  <c r="F290" i="6"/>
  <c r="G290" i="6"/>
  <c r="E356" i="6"/>
  <c r="F356" i="6"/>
  <c r="G356" i="6"/>
  <c r="E283" i="6"/>
  <c r="F283" i="6"/>
  <c r="G283" i="6"/>
  <c r="E168" i="6"/>
  <c r="F168" i="6"/>
  <c r="G168" i="6"/>
  <c r="E169" i="6"/>
  <c r="F169" i="6"/>
  <c r="G169" i="6"/>
  <c r="E254" i="6"/>
  <c r="F254" i="6"/>
  <c r="G254" i="6"/>
  <c r="E252" i="6"/>
  <c r="F252" i="6"/>
  <c r="G252" i="6"/>
  <c r="E253" i="6"/>
  <c r="F253" i="6"/>
  <c r="G253" i="6"/>
  <c r="E249" i="6"/>
  <c r="F249" i="6"/>
  <c r="G249" i="6"/>
  <c r="E250" i="6"/>
  <c r="F250" i="6"/>
  <c r="G250" i="6"/>
  <c r="E84" i="6"/>
  <c r="F84" i="6"/>
  <c r="G84" i="6"/>
  <c r="E263" i="6"/>
  <c r="F263" i="6"/>
  <c r="G263" i="6"/>
  <c r="E155" i="6"/>
  <c r="F155" i="6"/>
  <c r="G155" i="6"/>
  <c r="E318" i="6"/>
  <c r="F318" i="6"/>
  <c r="G318" i="6"/>
  <c r="E39" i="6"/>
  <c r="F39" i="6"/>
  <c r="G39" i="6"/>
  <c r="E37" i="6"/>
  <c r="F37" i="6"/>
  <c r="G37" i="6"/>
  <c r="E38" i="6"/>
  <c r="F38" i="6"/>
  <c r="G38" i="6"/>
  <c r="E42" i="6"/>
  <c r="F42" i="6"/>
  <c r="G42" i="6"/>
  <c r="E40" i="6"/>
  <c r="F40" i="6"/>
  <c r="G40" i="6"/>
  <c r="E231" i="6"/>
  <c r="F231" i="6"/>
  <c r="G231" i="6"/>
  <c r="E242" i="6"/>
  <c r="F242" i="6"/>
  <c r="G242" i="6"/>
  <c r="E241" i="6"/>
  <c r="F241" i="6"/>
  <c r="G241" i="6"/>
  <c r="E317" i="6"/>
  <c r="F317" i="6"/>
  <c r="G317" i="6"/>
  <c r="E279" i="6"/>
  <c r="F279" i="6"/>
  <c r="G279" i="6"/>
  <c r="E274" i="6"/>
  <c r="F274" i="6"/>
  <c r="G274" i="6"/>
  <c r="E275" i="6"/>
  <c r="F275" i="6"/>
  <c r="G275" i="6"/>
  <c r="E276" i="6"/>
  <c r="F276" i="6"/>
  <c r="G276" i="6"/>
  <c r="E277" i="6"/>
  <c r="F277" i="6"/>
  <c r="G277" i="6"/>
  <c r="E278" i="6"/>
  <c r="F278" i="6"/>
  <c r="G278" i="6"/>
  <c r="E288" i="6"/>
  <c r="F288" i="6"/>
  <c r="G288" i="6"/>
  <c r="E240" i="6"/>
  <c r="F240" i="6"/>
  <c r="G240" i="6"/>
  <c r="E372" i="6"/>
  <c r="F372" i="6"/>
  <c r="G372" i="6"/>
  <c r="E93" i="6"/>
  <c r="F93" i="6"/>
  <c r="G93" i="6"/>
  <c r="E131" i="6"/>
  <c r="F131" i="6"/>
  <c r="G131" i="6"/>
  <c r="E64" i="6"/>
  <c r="F64" i="6"/>
  <c r="G64" i="6"/>
  <c r="E106" i="6"/>
  <c r="F106" i="6"/>
  <c r="G106" i="6"/>
  <c r="E5" i="6"/>
  <c r="F5" i="6"/>
  <c r="E6" i="6"/>
  <c r="F6" i="6"/>
  <c r="E9" i="6"/>
  <c r="F9" i="6"/>
  <c r="E13" i="6"/>
  <c r="F13" i="6"/>
  <c r="X13" i="6" s="1"/>
  <c r="E14" i="6"/>
  <c r="F14" i="6"/>
  <c r="E15" i="6"/>
  <c r="F15" i="6"/>
  <c r="E16" i="6"/>
  <c r="F16" i="6"/>
  <c r="E17" i="6"/>
  <c r="F17" i="6"/>
  <c r="E18" i="6"/>
  <c r="F18" i="6"/>
  <c r="V18" i="6" s="1"/>
  <c r="E20" i="6"/>
  <c r="F20" i="6"/>
  <c r="V20" i="6" s="1"/>
  <c r="E22" i="6"/>
  <c r="F22" i="6"/>
  <c r="V22" i="6" s="1"/>
  <c r="E28" i="6"/>
  <c r="F28" i="6"/>
  <c r="E29" i="6"/>
  <c r="F29" i="6"/>
  <c r="E31" i="6"/>
  <c r="F31" i="6"/>
  <c r="X31" i="6" s="1"/>
  <c r="E32" i="6"/>
  <c r="F32" i="6"/>
  <c r="E33" i="6"/>
  <c r="F33" i="6"/>
  <c r="E34" i="6"/>
  <c r="F34" i="6"/>
  <c r="V34" i="6" s="1"/>
  <c r="E35" i="6"/>
  <c r="F35" i="6"/>
  <c r="V35" i="6" s="1"/>
  <c r="E36" i="6"/>
  <c r="F36" i="6"/>
  <c r="V36" i="6" s="1"/>
  <c r="E47" i="6"/>
  <c r="F47" i="6"/>
  <c r="V47" i="6" s="1"/>
  <c r="E48" i="6"/>
  <c r="F48" i="6"/>
  <c r="V48" i="6" s="1"/>
  <c r="E49" i="6"/>
  <c r="F49" i="6"/>
  <c r="V49" i="6" s="1"/>
  <c r="E50" i="6"/>
  <c r="F50" i="6"/>
  <c r="V50" i="6" s="1"/>
  <c r="E51" i="6"/>
  <c r="F51" i="6"/>
  <c r="E52" i="6"/>
  <c r="F52" i="6"/>
  <c r="V52" i="6" s="1"/>
  <c r="E53" i="6"/>
  <c r="F53" i="6"/>
  <c r="V53" i="6" s="1"/>
  <c r="E54" i="6"/>
  <c r="F54" i="6"/>
  <c r="V54" i="6" s="1"/>
  <c r="E55" i="6"/>
  <c r="F55" i="6"/>
  <c r="E56" i="6"/>
  <c r="F56" i="6"/>
  <c r="E62" i="6"/>
  <c r="F62" i="6"/>
  <c r="E63" i="6"/>
  <c r="F63" i="6"/>
  <c r="X63" i="6" s="1"/>
  <c r="E65" i="6"/>
  <c r="F65" i="6"/>
  <c r="E66" i="6"/>
  <c r="F66" i="6"/>
  <c r="E67" i="6"/>
  <c r="F67" i="6"/>
  <c r="V67" i="6" s="1"/>
  <c r="E68" i="6"/>
  <c r="F68" i="6"/>
  <c r="V68" i="6" s="1"/>
  <c r="E73" i="6"/>
  <c r="F73" i="6"/>
  <c r="E78" i="6"/>
  <c r="F78" i="6"/>
  <c r="E83" i="6"/>
  <c r="F83" i="6"/>
  <c r="T83" i="6" s="1"/>
  <c r="E88" i="6"/>
  <c r="F88" i="6"/>
  <c r="T88" i="6" s="1"/>
  <c r="E96" i="6"/>
  <c r="F96" i="6"/>
  <c r="X96" i="6" s="1"/>
  <c r="E97" i="6"/>
  <c r="F97" i="6"/>
  <c r="E98" i="6"/>
  <c r="F98" i="6"/>
  <c r="E99" i="6"/>
  <c r="F99" i="6"/>
  <c r="V99" i="6" s="1"/>
  <c r="E109" i="6"/>
  <c r="F109" i="6"/>
  <c r="E110" i="6"/>
  <c r="F110" i="6"/>
  <c r="V110" i="6" s="1"/>
  <c r="E111" i="6"/>
  <c r="F111" i="6"/>
  <c r="V111" i="6" s="1"/>
  <c r="E119" i="6"/>
  <c r="F119" i="6"/>
  <c r="V119" i="6" s="1"/>
  <c r="E128" i="6"/>
  <c r="F128" i="6"/>
  <c r="V128" i="6" s="1"/>
  <c r="E129" i="6"/>
  <c r="F129" i="6"/>
  <c r="V129" i="6" s="1"/>
  <c r="E133" i="6"/>
  <c r="F133" i="6"/>
  <c r="V133" i="6" s="1"/>
  <c r="E135" i="6"/>
  <c r="F135" i="6"/>
  <c r="V135" i="6" s="1"/>
  <c r="E148" i="6"/>
  <c r="E149" i="6"/>
  <c r="E150" i="6"/>
  <c r="F150" i="6"/>
  <c r="V150" i="6" s="1"/>
  <c r="E151" i="6"/>
  <c r="F151" i="6"/>
  <c r="V151" i="6" s="1"/>
  <c r="E152" i="6"/>
  <c r="F152" i="6"/>
  <c r="V152" i="6" s="1"/>
  <c r="E156" i="6"/>
  <c r="F156" i="6"/>
  <c r="V156" i="6" s="1"/>
  <c r="E157" i="6"/>
  <c r="F157" i="6"/>
  <c r="V157" i="6" s="1"/>
  <c r="E158" i="6"/>
  <c r="F158" i="6"/>
  <c r="V158" i="6" s="1"/>
  <c r="E159" i="6"/>
  <c r="F159" i="6"/>
  <c r="E165" i="6"/>
  <c r="F165" i="6"/>
  <c r="V165" i="6" s="1"/>
  <c r="E166" i="6"/>
  <c r="F166" i="6"/>
  <c r="V166" i="6" s="1"/>
  <c r="E170" i="6"/>
  <c r="F170" i="6"/>
  <c r="V170" i="6" s="1"/>
  <c r="E171" i="6"/>
  <c r="F171" i="6"/>
  <c r="E172" i="6"/>
  <c r="F172" i="6"/>
  <c r="E173" i="6"/>
  <c r="F173" i="6"/>
  <c r="E174" i="6"/>
  <c r="F174" i="6"/>
  <c r="E175" i="6"/>
  <c r="F175" i="6"/>
  <c r="E176" i="6"/>
  <c r="F176" i="6"/>
  <c r="V176" i="6" s="1"/>
  <c r="E212" i="6"/>
  <c r="F212" i="6"/>
  <c r="E243" i="6"/>
  <c r="F243" i="6"/>
  <c r="E244" i="6"/>
  <c r="F244" i="6"/>
  <c r="E255" i="6"/>
  <c r="F255" i="6"/>
  <c r="V255" i="6" s="1"/>
  <c r="E257" i="6"/>
  <c r="F257" i="6"/>
  <c r="V257" i="6" s="1"/>
  <c r="E291" i="6"/>
  <c r="F291" i="6"/>
  <c r="V291" i="6" s="1"/>
  <c r="E292" i="6"/>
  <c r="F292" i="6"/>
  <c r="E293" i="6"/>
  <c r="F293" i="6"/>
  <c r="V293" i="6" s="1"/>
  <c r="E301" i="6"/>
  <c r="F301" i="6"/>
  <c r="E302" i="6"/>
  <c r="F302" i="6"/>
  <c r="X302" i="6" s="1"/>
  <c r="E303" i="6"/>
  <c r="F303" i="6"/>
  <c r="E304" i="6"/>
  <c r="F304" i="6"/>
  <c r="E305" i="6"/>
  <c r="F305" i="6"/>
  <c r="E323" i="6"/>
  <c r="F323" i="6"/>
  <c r="V323" i="6" s="1"/>
  <c r="E324" i="6"/>
  <c r="F324" i="6"/>
  <c r="V324" i="6" s="1"/>
  <c r="E325" i="6"/>
  <c r="F325" i="6"/>
  <c r="E326" i="6"/>
  <c r="F326" i="6"/>
  <c r="E327" i="6"/>
  <c r="F327" i="6"/>
  <c r="E329" i="6"/>
  <c r="F329" i="6"/>
  <c r="Z329" i="6" s="1"/>
  <c r="E330" i="6"/>
  <c r="F330" i="6"/>
  <c r="Z330" i="6" s="1"/>
  <c r="E338" i="6"/>
  <c r="F338" i="6"/>
  <c r="Z338" i="6" s="1"/>
  <c r="E339" i="6"/>
  <c r="F339" i="6"/>
  <c r="E344" i="6"/>
  <c r="F344" i="6"/>
  <c r="E345" i="6"/>
  <c r="F345" i="6"/>
  <c r="E347" i="6"/>
  <c r="F347" i="6"/>
  <c r="E348" i="6"/>
  <c r="F348" i="6"/>
  <c r="Z348" i="6" s="1"/>
  <c r="E349" i="6"/>
  <c r="F349" i="6"/>
  <c r="Z349" i="6" s="1"/>
  <c r="E374" i="6"/>
  <c r="F374" i="6"/>
  <c r="Z374" i="6" s="1"/>
  <c r="E375" i="6"/>
  <c r="F375" i="6"/>
  <c r="E376" i="6"/>
  <c r="F376" i="6"/>
  <c r="Z376" i="6" s="1"/>
  <c r="E398" i="6"/>
  <c r="F398" i="6"/>
  <c r="Z398" i="6" s="1"/>
  <c r="E399" i="6"/>
  <c r="F399" i="6"/>
  <c r="Z399" i="6" s="1"/>
  <c r="E401" i="6"/>
  <c r="F401" i="6"/>
  <c r="E402" i="6"/>
  <c r="F402" i="6"/>
  <c r="Z402" i="6" s="1"/>
  <c r="E405" i="6"/>
  <c r="F405" i="6"/>
  <c r="Z405" i="6" s="1"/>
  <c r="E406" i="6"/>
  <c r="F406" i="6"/>
  <c r="Z406" i="6" s="1"/>
  <c r="G10" i="6"/>
  <c r="F10" i="6"/>
  <c r="E10" i="6"/>
  <c r="D477" i="6"/>
  <c r="Z475" i="6"/>
  <c r="X475" i="6"/>
  <c r="V475" i="6"/>
  <c r="T475" i="6"/>
  <c r="R475" i="6"/>
  <c r="G475" i="6"/>
  <c r="K477" i="6" s="1"/>
  <c r="Z401" i="6"/>
  <c r="Z375" i="6"/>
  <c r="N347" i="6"/>
  <c r="N345" i="6"/>
  <c r="O344" i="6"/>
  <c r="N344" i="6"/>
  <c r="Z339" i="6"/>
  <c r="L327" i="6"/>
  <c r="I327" i="6"/>
  <c r="L326" i="6"/>
  <c r="M325" i="6"/>
  <c r="L325" i="6"/>
  <c r="T304" i="6"/>
  <c r="L303" i="6"/>
  <c r="L301" i="6"/>
  <c r="V292" i="6"/>
  <c r="L244" i="6"/>
  <c r="L243" i="6"/>
  <c r="L212" i="6"/>
  <c r="N175" i="6"/>
  <c r="L175" i="6"/>
  <c r="N174" i="6"/>
  <c r="L174" i="6"/>
  <c r="N173" i="6"/>
  <c r="L173" i="6"/>
  <c r="N172" i="6"/>
  <c r="L172" i="6"/>
  <c r="L171" i="6"/>
  <c r="O159" i="6"/>
  <c r="V148" i="6"/>
  <c r="V109" i="6"/>
  <c r="N98" i="6"/>
  <c r="X97" i="6"/>
  <c r="T78" i="6"/>
  <c r="L73" i="6"/>
  <c r="J66" i="6"/>
  <c r="J65" i="6"/>
  <c r="O62" i="6"/>
  <c r="L62" i="6"/>
  <c r="O56" i="6"/>
  <c r="M56" i="6"/>
  <c r="L56" i="6"/>
  <c r="M55" i="6"/>
  <c r="L55" i="6"/>
  <c r="V51" i="6"/>
  <c r="V33" i="6"/>
  <c r="L32" i="6"/>
  <c r="J29" i="6"/>
  <c r="I29" i="6"/>
  <c r="J28" i="6"/>
  <c r="L17" i="6"/>
  <c r="J16" i="6"/>
  <c r="N15" i="6"/>
  <c r="M14" i="6"/>
  <c r="L14" i="6"/>
  <c r="J9" i="6"/>
  <c r="T9" i="6" s="1"/>
  <c r="K6" i="6"/>
  <c r="K5" i="6"/>
  <c r="J5" i="6"/>
  <c r="D46" i="14"/>
  <c r="G44" i="14"/>
  <c r="F44" i="14"/>
  <c r="E44" i="14"/>
  <c r="G43" i="14"/>
  <c r="F43" i="14"/>
  <c r="E43" i="14"/>
  <c r="G42" i="14"/>
  <c r="F42" i="14"/>
  <c r="E42" i="14"/>
  <c r="G41" i="14"/>
  <c r="F41" i="14"/>
  <c r="E41" i="14"/>
  <c r="G40" i="14"/>
  <c r="F40" i="14"/>
  <c r="E40" i="14"/>
  <c r="G39" i="14"/>
  <c r="F39" i="14"/>
  <c r="E39" i="14"/>
  <c r="G38" i="14"/>
  <c r="F38" i="14"/>
  <c r="E38" i="14"/>
  <c r="G37" i="14"/>
  <c r="F37" i="14"/>
  <c r="E37" i="14"/>
  <c r="G36" i="14"/>
  <c r="F36" i="14"/>
  <c r="E36" i="14"/>
  <c r="G35" i="14"/>
  <c r="F35" i="14"/>
  <c r="E35" i="14"/>
  <c r="G34" i="14"/>
  <c r="F34" i="14"/>
  <c r="E34" i="14"/>
  <c r="G33" i="14"/>
  <c r="F33" i="14"/>
  <c r="E33" i="14"/>
  <c r="G32" i="14"/>
  <c r="F32" i="14"/>
  <c r="E32" i="14"/>
  <c r="G31" i="14"/>
  <c r="F31" i="14"/>
  <c r="E31" i="14"/>
  <c r="V30" i="14"/>
  <c r="J30" i="14"/>
  <c r="F30" i="14"/>
  <c r="T30" i="14" s="1"/>
  <c r="E30" i="14"/>
  <c r="X29" i="14"/>
  <c r="F29" i="14"/>
  <c r="V29" i="14" s="1"/>
  <c r="E29" i="14"/>
  <c r="F28" i="14"/>
  <c r="V28" i="14" s="1"/>
  <c r="E28" i="14"/>
  <c r="F27" i="14"/>
  <c r="V27" i="14" s="1"/>
  <c r="E27" i="14"/>
  <c r="F26" i="14"/>
  <c r="V26" i="14" s="1"/>
  <c r="E26" i="14"/>
  <c r="G25" i="14"/>
  <c r="F25" i="14"/>
  <c r="E25" i="14"/>
  <c r="F24" i="14"/>
  <c r="T24" i="14" s="1"/>
  <c r="E24" i="14"/>
  <c r="F23" i="14"/>
  <c r="T23" i="14" s="1"/>
  <c r="E23" i="14"/>
  <c r="F22" i="14"/>
  <c r="T22" i="14" s="1"/>
  <c r="E22" i="14"/>
  <c r="G21" i="14"/>
  <c r="F21" i="14"/>
  <c r="E21" i="14"/>
  <c r="Z20" i="14"/>
  <c r="F20" i="14"/>
  <c r="X20" i="14" s="1"/>
  <c r="E20" i="14"/>
  <c r="F19" i="14"/>
  <c r="X19" i="14" s="1"/>
  <c r="E19" i="14"/>
  <c r="Z18" i="14"/>
  <c r="T18" i="14"/>
  <c r="R18" i="14"/>
  <c r="F18" i="14"/>
  <c r="X18" i="14" s="1"/>
  <c r="E18" i="14"/>
  <c r="G17" i="14"/>
  <c r="F17" i="14"/>
  <c r="E17" i="14"/>
  <c r="G16" i="14"/>
  <c r="F16" i="14"/>
  <c r="E16" i="14"/>
  <c r="F15" i="14"/>
  <c r="V15" i="14" s="1"/>
  <c r="E15" i="14"/>
  <c r="J14" i="14"/>
  <c r="F14" i="14" s="1"/>
  <c r="E14" i="14"/>
  <c r="Z13" i="14"/>
  <c r="X13" i="14"/>
  <c r="R13" i="14"/>
  <c r="F13" i="14"/>
  <c r="V13" i="14" s="1"/>
  <c r="E13" i="14"/>
  <c r="Z12" i="14"/>
  <c r="X12" i="14"/>
  <c r="F12" i="14"/>
  <c r="V12" i="14" s="1"/>
  <c r="E12" i="14"/>
  <c r="Z11" i="14"/>
  <c r="F11" i="14"/>
  <c r="V11" i="14" s="1"/>
  <c r="E11" i="14"/>
  <c r="F10" i="14"/>
  <c r="V10" i="14" s="1"/>
  <c r="E10" i="14"/>
  <c r="G9" i="14"/>
  <c r="F9" i="14"/>
  <c r="E9" i="14"/>
  <c r="F8" i="14"/>
  <c r="V8" i="14" s="1"/>
  <c r="E8" i="14"/>
  <c r="X7" i="14"/>
  <c r="F7" i="14"/>
  <c r="V7" i="14" s="1"/>
  <c r="E7" i="14"/>
  <c r="F6" i="14"/>
  <c r="V6" i="14" s="1"/>
  <c r="E6" i="14"/>
  <c r="G5" i="14"/>
  <c r="F5" i="14"/>
  <c r="E5" i="14"/>
  <c r="D49" i="13"/>
  <c r="G47" i="13"/>
  <c r="F47" i="13"/>
  <c r="E47" i="13"/>
  <c r="G46" i="13"/>
  <c r="F46" i="13"/>
  <c r="E46" i="13"/>
  <c r="G45" i="13"/>
  <c r="F45" i="13"/>
  <c r="E45" i="13"/>
  <c r="G44" i="13"/>
  <c r="F44" i="13"/>
  <c r="E44" i="13"/>
  <c r="G43" i="13"/>
  <c r="F43" i="13"/>
  <c r="E43" i="13"/>
  <c r="G42" i="13"/>
  <c r="F42" i="13"/>
  <c r="E42" i="13"/>
  <c r="G41" i="13"/>
  <c r="F41" i="13"/>
  <c r="E41" i="13"/>
  <c r="G40" i="13"/>
  <c r="F40" i="13"/>
  <c r="E40" i="13"/>
  <c r="G39" i="13"/>
  <c r="F39" i="13"/>
  <c r="E39" i="13"/>
  <c r="G38" i="13"/>
  <c r="F38" i="13"/>
  <c r="E38" i="13"/>
  <c r="G37" i="13"/>
  <c r="F37" i="13"/>
  <c r="E37" i="13"/>
  <c r="G36" i="13"/>
  <c r="F36" i="13"/>
  <c r="E36" i="13"/>
  <c r="G35" i="13"/>
  <c r="F35" i="13"/>
  <c r="E35" i="13"/>
  <c r="G34" i="13"/>
  <c r="F34" i="13"/>
  <c r="E34" i="13"/>
  <c r="G33" i="13"/>
  <c r="F33" i="13"/>
  <c r="E33" i="13"/>
  <c r="G32" i="13"/>
  <c r="F32" i="13"/>
  <c r="E32" i="13"/>
  <c r="G31" i="13"/>
  <c r="F31" i="13"/>
  <c r="E31" i="13"/>
  <c r="G30" i="13"/>
  <c r="F30" i="13"/>
  <c r="E30" i="13"/>
  <c r="G29" i="13"/>
  <c r="F29" i="13"/>
  <c r="E29" i="13"/>
  <c r="G28" i="13"/>
  <c r="F28" i="13"/>
  <c r="E28" i="13"/>
  <c r="G27" i="13"/>
  <c r="F27" i="13"/>
  <c r="E27" i="13"/>
  <c r="F26" i="13"/>
  <c r="Z26" i="13" s="1"/>
  <c r="E26" i="13"/>
  <c r="T25" i="13"/>
  <c r="F25" i="13"/>
  <c r="Z25" i="13" s="1"/>
  <c r="E25" i="13"/>
  <c r="T24" i="13"/>
  <c r="F24" i="13"/>
  <c r="Z24" i="13" s="1"/>
  <c r="E24" i="13"/>
  <c r="F23" i="13"/>
  <c r="Z23" i="13" s="1"/>
  <c r="E23" i="13"/>
  <c r="N22" i="13"/>
  <c r="F22" i="13"/>
  <c r="Z22" i="13" s="1"/>
  <c r="E22" i="13"/>
  <c r="N21" i="13"/>
  <c r="F21" i="13" s="1"/>
  <c r="E21" i="13"/>
  <c r="N20" i="13"/>
  <c r="F20" i="13" s="1"/>
  <c r="E20" i="13"/>
  <c r="N19" i="13"/>
  <c r="F19" i="13"/>
  <c r="X19" i="13" s="1"/>
  <c r="E19" i="13"/>
  <c r="J18" i="13"/>
  <c r="F18" i="13"/>
  <c r="Z18" i="13" s="1"/>
  <c r="E18" i="13"/>
  <c r="J17" i="13"/>
  <c r="F17" i="13" s="1"/>
  <c r="E17" i="13"/>
  <c r="X16" i="13"/>
  <c r="T16" i="13"/>
  <c r="F16" i="13"/>
  <c r="V16" i="13" s="1"/>
  <c r="E16" i="13"/>
  <c r="R15" i="13"/>
  <c r="F15" i="13"/>
  <c r="V15" i="13" s="1"/>
  <c r="E15" i="13"/>
  <c r="F14" i="13"/>
  <c r="V14" i="13" s="1"/>
  <c r="E14" i="13"/>
  <c r="G13" i="13"/>
  <c r="F13" i="13"/>
  <c r="E13" i="13"/>
  <c r="G12" i="13"/>
  <c r="F12" i="13"/>
  <c r="E12" i="13"/>
  <c r="T11" i="13"/>
  <c r="F11" i="13"/>
  <c r="Z11" i="13" s="1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D143" i="12"/>
  <c r="F141" i="12"/>
  <c r="V141" i="12" s="1"/>
  <c r="E141" i="12"/>
  <c r="F140" i="12"/>
  <c r="V140" i="12" s="1"/>
  <c r="E140" i="12"/>
  <c r="F139" i="12"/>
  <c r="V139" i="12" s="1"/>
  <c r="E139" i="12"/>
  <c r="F138" i="12"/>
  <c r="V138" i="12" s="1"/>
  <c r="E138" i="12"/>
  <c r="F137" i="12"/>
  <c r="V137" i="12" s="1"/>
  <c r="E137" i="12"/>
  <c r="T136" i="12"/>
  <c r="F136" i="12"/>
  <c r="V136" i="12" s="1"/>
  <c r="E136" i="12"/>
  <c r="F135" i="12"/>
  <c r="V135" i="12" s="1"/>
  <c r="E135" i="12"/>
  <c r="F134" i="12"/>
  <c r="V134" i="12" s="1"/>
  <c r="E134" i="12"/>
  <c r="F133" i="12"/>
  <c r="V133" i="12" s="1"/>
  <c r="E133" i="12"/>
  <c r="F132" i="12"/>
  <c r="V132" i="12" s="1"/>
  <c r="E132" i="12"/>
  <c r="F131" i="12"/>
  <c r="V131" i="12" s="1"/>
  <c r="E131" i="12"/>
  <c r="F130" i="12"/>
  <c r="V130" i="12" s="1"/>
  <c r="E130" i="12"/>
  <c r="F129" i="12"/>
  <c r="V129" i="12" s="1"/>
  <c r="E129" i="12"/>
  <c r="F128" i="12"/>
  <c r="V128" i="12" s="1"/>
  <c r="E128" i="12"/>
  <c r="F127" i="12"/>
  <c r="V127" i="12" s="1"/>
  <c r="E127" i="12"/>
  <c r="F126" i="12"/>
  <c r="T126" i="12" s="1"/>
  <c r="E126" i="12"/>
  <c r="F125" i="12"/>
  <c r="R125" i="12" s="1"/>
  <c r="G125" i="12" s="1"/>
  <c r="E125" i="12"/>
  <c r="F124" i="12"/>
  <c r="R124" i="12" s="1"/>
  <c r="G124" i="12" s="1"/>
  <c r="E124" i="12"/>
  <c r="F123" i="12"/>
  <c r="R123" i="12" s="1"/>
  <c r="G123" i="12" s="1"/>
  <c r="E123" i="12"/>
  <c r="F122" i="12"/>
  <c r="R122" i="12" s="1"/>
  <c r="G122" i="12" s="1"/>
  <c r="E122" i="12"/>
  <c r="F121" i="12"/>
  <c r="R121" i="12" s="1"/>
  <c r="G121" i="12" s="1"/>
  <c r="E121" i="12"/>
  <c r="R120" i="12"/>
  <c r="G120" i="12" s="1"/>
  <c r="F120" i="12"/>
  <c r="E120" i="12"/>
  <c r="F119" i="12"/>
  <c r="R119" i="12" s="1"/>
  <c r="G119" i="12" s="1"/>
  <c r="E119" i="12"/>
  <c r="F118" i="12"/>
  <c r="R118" i="12" s="1"/>
  <c r="G118" i="12" s="1"/>
  <c r="E118" i="12"/>
  <c r="F117" i="12"/>
  <c r="R117" i="12" s="1"/>
  <c r="G117" i="12" s="1"/>
  <c r="E117" i="12"/>
  <c r="F116" i="12"/>
  <c r="R116" i="12" s="1"/>
  <c r="G116" i="12" s="1"/>
  <c r="E116" i="12"/>
  <c r="F115" i="12"/>
  <c r="R115" i="12" s="1"/>
  <c r="G115" i="12" s="1"/>
  <c r="E115" i="12"/>
  <c r="F114" i="12"/>
  <c r="R114" i="12" s="1"/>
  <c r="G114" i="12" s="1"/>
  <c r="E114" i="12"/>
  <c r="F113" i="12"/>
  <c r="R113" i="12" s="1"/>
  <c r="G113" i="12" s="1"/>
  <c r="E113" i="12"/>
  <c r="R112" i="12"/>
  <c r="G112" i="12" s="1"/>
  <c r="F112" i="12"/>
  <c r="E112" i="12"/>
  <c r="F111" i="12"/>
  <c r="R111" i="12" s="1"/>
  <c r="G111" i="12" s="1"/>
  <c r="E111" i="12"/>
  <c r="F110" i="12"/>
  <c r="R110" i="12" s="1"/>
  <c r="G110" i="12" s="1"/>
  <c r="E110" i="12"/>
  <c r="F109" i="12"/>
  <c r="R109" i="12" s="1"/>
  <c r="G109" i="12" s="1"/>
  <c r="E109" i="12"/>
  <c r="F108" i="12"/>
  <c r="R108" i="12" s="1"/>
  <c r="G108" i="12" s="1"/>
  <c r="E108" i="12"/>
  <c r="F107" i="12"/>
  <c r="R107" i="12" s="1"/>
  <c r="G107" i="12" s="1"/>
  <c r="E107" i="12"/>
  <c r="F106" i="12"/>
  <c r="R106" i="12" s="1"/>
  <c r="G106" i="12" s="1"/>
  <c r="E106" i="12"/>
  <c r="F105" i="12"/>
  <c r="R105" i="12" s="1"/>
  <c r="G105" i="12" s="1"/>
  <c r="E105" i="12"/>
  <c r="R104" i="12"/>
  <c r="G104" i="12" s="1"/>
  <c r="F104" i="12"/>
  <c r="E104" i="12"/>
  <c r="F103" i="12"/>
  <c r="R103" i="12" s="1"/>
  <c r="G103" i="12" s="1"/>
  <c r="E103" i="12"/>
  <c r="F102" i="12"/>
  <c r="R102" i="12" s="1"/>
  <c r="G102" i="12" s="1"/>
  <c r="E102" i="12"/>
  <c r="F101" i="12"/>
  <c r="R101" i="12" s="1"/>
  <c r="G101" i="12" s="1"/>
  <c r="E101" i="12"/>
  <c r="F100" i="12"/>
  <c r="R100" i="12" s="1"/>
  <c r="G100" i="12" s="1"/>
  <c r="E100" i="12"/>
  <c r="F99" i="12"/>
  <c r="R99" i="12" s="1"/>
  <c r="G99" i="12" s="1"/>
  <c r="E99" i="12"/>
  <c r="F98" i="12"/>
  <c r="R98" i="12" s="1"/>
  <c r="G98" i="12" s="1"/>
  <c r="E98" i="12"/>
  <c r="F97" i="12"/>
  <c r="R97" i="12" s="1"/>
  <c r="G97" i="12" s="1"/>
  <c r="E97" i="12"/>
  <c r="R96" i="12"/>
  <c r="G96" i="12" s="1"/>
  <c r="F96" i="12"/>
  <c r="E96" i="12"/>
  <c r="F95" i="12"/>
  <c r="R95" i="12" s="1"/>
  <c r="G95" i="12" s="1"/>
  <c r="E95" i="12"/>
  <c r="F94" i="12"/>
  <c r="R94" i="12" s="1"/>
  <c r="G94" i="12" s="1"/>
  <c r="E94" i="12"/>
  <c r="F93" i="12"/>
  <c r="R93" i="12" s="1"/>
  <c r="G93" i="12" s="1"/>
  <c r="E93" i="12"/>
  <c r="F92" i="12"/>
  <c r="X92" i="12" s="1"/>
  <c r="E92" i="12"/>
  <c r="Z91" i="12"/>
  <c r="F91" i="12"/>
  <c r="X91" i="12" s="1"/>
  <c r="E91" i="12"/>
  <c r="F90" i="12"/>
  <c r="X90" i="12" s="1"/>
  <c r="E90" i="12"/>
  <c r="F89" i="12"/>
  <c r="X89" i="12" s="1"/>
  <c r="E89" i="12"/>
  <c r="F88" i="12"/>
  <c r="X88" i="12" s="1"/>
  <c r="E88" i="12"/>
  <c r="Z87" i="12"/>
  <c r="F87" i="12"/>
  <c r="X87" i="12" s="1"/>
  <c r="E87" i="12"/>
  <c r="F86" i="12"/>
  <c r="X86" i="12" s="1"/>
  <c r="E86" i="12"/>
  <c r="F85" i="12"/>
  <c r="X85" i="12" s="1"/>
  <c r="E85" i="12"/>
  <c r="F84" i="12"/>
  <c r="Z84" i="12" s="1"/>
  <c r="E84" i="12"/>
  <c r="F83" i="12"/>
  <c r="X83" i="12" s="1"/>
  <c r="E83" i="12"/>
  <c r="F82" i="12"/>
  <c r="X82" i="12" s="1"/>
  <c r="E82" i="12"/>
  <c r="R81" i="12"/>
  <c r="F81" i="12"/>
  <c r="X81" i="12" s="1"/>
  <c r="E81" i="12"/>
  <c r="F80" i="12"/>
  <c r="X80" i="12" s="1"/>
  <c r="E80" i="12"/>
  <c r="F79" i="12"/>
  <c r="X79" i="12" s="1"/>
  <c r="E79" i="12"/>
  <c r="V78" i="12"/>
  <c r="F78" i="12"/>
  <c r="X78" i="12" s="1"/>
  <c r="E78" i="12"/>
  <c r="R77" i="12"/>
  <c r="F77" i="12"/>
  <c r="X77" i="12" s="1"/>
  <c r="E77" i="12"/>
  <c r="F76" i="12"/>
  <c r="V76" i="12" s="1"/>
  <c r="E76" i="12"/>
  <c r="F75" i="12"/>
  <c r="T75" i="12" s="1"/>
  <c r="E75" i="12"/>
  <c r="F74" i="12"/>
  <c r="E74" i="12"/>
  <c r="F73" i="12"/>
  <c r="E73" i="12"/>
  <c r="F72" i="12"/>
  <c r="V72" i="12" s="1"/>
  <c r="E72" i="12"/>
  <c r="F71" i="12"/>
  <c r="V71" i="12" s="1"/>
  <c r="E71" i="12"/>
  <c r="F70" i="12"/>
  <c r="V70" i="12" s="1"/>
  <c r="E70" i="12"/>
  <c r="F69" i="12"/>
  <c r="V69" i="12" s="1"/>
  <c r="E69" i="12"/>
  <c r="F68" i="12"/>
  <c r="V68" i="12" s="1"/>
  <c r="E68" i="12"/>
  <c r="F67" i="12"/>
  <c r="V67" i="12" s="1"/>
  <c r="E67" i="12"/>
  <c r="F66" i="12"/>
  <c r="V66" i="12" s="1"/>
  <c r="E66" i="12"/>
  <c r="F65" i="12"/>
  <c r="V65" i="12" s="1"/>
  <c r="E65" i="12"/>
  <c r="F64" i="12"/>
  <c r="V64" i="12" s="1"/>
  <c r="E64" i="12"/>
  <c r="F63" i="12"/>
  <c r="T63" i="12" s="1"/>
  <c r="E63" i="12"/>
  <c r="V62" i="12"/>
  <c r="F62" i="12"/>
  <c r="T62" i="12" s="1"/>
  <c r="E62" i="12"/>
  <c r="F61" i="12"/>
  <c r="T61" i="12" s="1"/>
  <c r="E61" i="12"/>
  <c r="F60" i="12"/>
  <c r="T60" i="12" s="1"/>
  <c r="E60" i="12"/>
  <c r="F59" i="12"/>
  <c r="E59" i="12"/>
  <c r="R58" i="12"/>
  <c r="G58" i="12" s="1"/>
  <c r="F58" i="12"/>
  <c r="T58" i="12" s="1"/>
  <c r="E58" i="12"/>
  <c r="F57" i="12"/>
  <c r="T57" i="12" s="1"/>
  <c r="E57" i="12"/>
  <c r="F56" i="12"/>
  <c r="X56" i="12" s="1"/>
  <c r="E56" i="12"/>
  <c r="F55" i="12"/>
  <c r="X55" i="12" s="1"/>
  <c r="E55" i="12"/>
  <c r="T54" i="12"/>
  <c r="F54" i="12"/>
  <c r="X54" i="12" s="1"/>
  <c r="E54" i="12"/>
  <c r="R53" i="12"/>
  <c r="F53" i="12"/>
  <c r="X53" i="12" s="1"/>
  <c r="E53" i="12"/>
  <c r="F52" i="12"/>
  <c r="X52" i="12" s="1"/>
  <c r="E52" i="12"/>
  <c r="R51" i="12"/>
  <c r="F51" i="12"/>
  <c r="X51" i="12" s="1"/>
  <c r="E51" i="12"/>
  <c r="F50" i="12"/>
  <c r="X50" i="12" s="1"/>
  <c r="E50" i="12"/>
  <c r="F49" i="12"/>
  <c r="X49" i="12" s="1"/>
  <c r="E49" i="12"/>
  <c r="F48" i="12"/>
  <c r="X48" i="12" s="1"/>
  <c r="E48" i="12"/>
  <c r="F47" i="12"/>
  <c r="X47" i="12" s="1"/>
  <c r="E47" i="12"/>
  <c r="T46" i="12"/>
  <c r="F46" i="12"/>
  <c r="X46" i="12" s="1"/>
  <c r="E46" i="12"/>
  <c r="R45" i="12"/>
  <c r="F45" i="12"/>
  <c r="X45" i="12" s="1"/>
  <c r="E45" i="12"/>
  <c r="F44" i="12"/>
  <c r="X44" i="12" s="1"/>
  <c r="E44" i="12"/>
  <c r="F43" i="12"/>
  <c r="X43" i="12" s="1"/>
  <c r="E43" i="12"/>
  <c r="F42" i="12"/>
  <c r="R42" i="12" s="1"/>
  <c r="E42" i="12"/>
  <c r="F41" i="12"/>
  <c r="E41" i="12"/>
  <c r="F40" i="12"/>
  <c r="R40" i="12" s="1"/>
  <c r="E40" i="12"/>
  <c r="F39" i="12"/>
  <c r="R39" i="12" s="1"/>
  <c r="E39" i="12"/>
  <c r="T38" i="12"/>
  <c r="G38" i="12" s="1"/>
  <c r="F38" i="12"/>
  <c r="R38" i="12" s="1"/>
  <c r="E38" i="12"/>
  <c r="F37" i="12"/>
  <c r="T37" i="12" s="1"/>
  <c r="E37" i="12"/>
  <c r="F36" i="12"/>
  <c r="T36" i="12" s="1"/>
  <c r="E36" i="12"/>
  <c r="F35" i="12"/>
  <c r="T35" i="12" s="1"/>
  <c r="E35" i="12"/>
  <c r="F34" i="12"/>
  <c r="R34" i="12" s="1"/>
  <c r="E34" i="12"/>
  <c r="F33" i="12"/>
  <c r="T33" i="12" s="1"/>
  <c r="E33" i="12"/>
  <c r="F32" i="12"/>
  <c r="T32" i="12" s="1"/>
  <c r="E32" i="12"/>
  <c r="R31" i="12"/>
  <c r="F31" i="12"/>
  <c r="T31" i="12" s="1"/>
  <c r="E31" i="12"/>
  <c r="F30" i="12"/>
  <c r="T30" i="12" s="1"/>
  <c r="E30" i="12"/>
  <c r="F29" i="12"/>
  <c r="T29" i="12" s="1"/>
  <c r="E29" i="12"/>
  <c r="F28" i="12"/>
  <c r="T28" i="12" s="1"/>
  <c r="E28" i="12"/>
  <c r="F27" i="12"/>
  <c r="T27" i="12" s="1"/>
  <c r="E27" i="12"/>
  <c r="F26" i="12"/>
  <c r="V26" i="12" s="1"/>
  <c r="E26" i="12"/>
  <c r="F25" i="12"/>
  <c r="V25" i="12" s="1"/>
  <c r="E25" i="12"/>
  <c r="F24" i="12"/>
  <c r="V24" i="12" s="1"/>
  <c r="E24" i="12"/>
  <c r="Z23" i="12"/>
  <c r="F23" i="12"/>
  <c r="V23" i="12" s="1"/>
  <c r="E23" i="12"/>
  <c r="F22" i="12"/>
  <c r="V22" i="12" s="1"/>
  <c r="E22" i="12"/>
  <c r="R21" i="12"/>
  <c r="F21" i="12"/>
  <c r="V21" i="12" s="1"/>
  <c r="E21" i="12"/>
  <c r="F20" i="12"/>
  <c r="V20" i="12" s="1"/>
  <c r="E20" i="12"/>
  <c r="F19" i="12"/>
  <c r="V19" i="12" s="1"/>
  <c r="E19" i="12"/>
  <c r="F18" i="12"/>
  <c r="V18" i="12" s="1"/>
  <c r="E18" i="12"/>
  <c r="F17" i="12"/>
  <c r="V17" i="12" s="1"/>
  <c r="E17" i="12"/>
  <c r="F16" i="12"/>
  <c r="V16" i="12" s="1"/>
  <c r="E16" i="12"/>
  <c r="X15" i="12"/>
  <c r="F15" i="12"/>
  <c r="V15" i="12" s="1"/>
  <c r="E15" i="12"/>
  <c r="F14" i="12"/>
  <c r="V14" i="12" s="1"/>
  <c r="E14" i="12"/>
  <c r="F13" i="12"/>
  <c r="V13" i="12" s="1"/>
  <c r="E13" i="12"/>
  <c r="F12" i="12"/>
  <c r="V12" i="12" s="1"/>
  <c r="E12" i="12"/>
  <c r="F11" i="12"/>
  <c r="V11" i="12" s="1"/>
  <c r="E11" i="12"/>
  <c r="F10" i="12"/>
  <c r="V10" i="12" s="1"/>
  <c r="E10" i="12"/>
  <c r="F9" i="12"/>
  <c r="V9" i="12" s="1"/>
  <c r="E9" i="12"/>
  <c r="F8" i="12"/>
  <c r="V8" i="12" s="1"/>
  <c r="E8" i="12"/>
  <c r="X7" i="12"/>
  <c r="F7" i="12"/>
  <c r="V7" i="12" s="1"/>
  <c r="E7" i="12"/>
  <c r="F6" i="12"/>
  <c r="V6" i="12" s="1"/>
  <c r="E6" i="12"/>
  <c r="L5" i="12"/>
  <c r="F5" i="12" s="1"/>
  <c r="E5" i="12"/>
  <c r="D200" i="11"/>
  <c r="F198" i="11"/>
  <c r="X198" i="11" s="1"/>
  <c r="F197" i="11"/>
  <c r="V197" i="11" s="1"/>
  <c r="E197" i="11"/>
  <c r="F196" i="11"/>
  <c r="V196" i="11" s="1"/>
  <c r="E196" i="11"/>
  <c r="F195" i="11"/>
  <c r="E195" i="11"/>
  <c r="F194" i="11"/>
  <c r="V194" i="11" s="1"/>
  <c r="E194" i="11"/>
  <c r="F193" i="11"/>
  <c r="V193" i="11" s="1"/>
  <c r="E193" i="11"/>
  <c r="F192" i="11"/>
  <c r="V192" i="11" s="1"/>
  <c r="E192" i="11"/>
  <c r="F191" i="11"/>
  <c r="V191" i="11" s="1"/>
  <c r="E191" i="11"/>
  <c r="F190" i="11"/>
  <c r="V190" i="11" s="1"/>
  <c r="E190" i="11"/>
  <c r="F189" i="11"/>
  <c r="V189" i="11" s="1"/>
  <c r="E189" i="11"/>
  <c r="F188" i="11"/>
  <c r="V188" i="11" s="1"/>
  <c r="E188" i="11"/>
  <c r="F187" i="11"/>
  <c r="V187" i="11" s="1"/>
  <c r="E187" i="11"/>
  <c r="F186" i="11"/>
  <c r="X186" i="11" s="1"/>
  <c r="E186" i="11"/>
  <c r="F185" i="11"/>
  <c r="V185" i="11" s="1"/>
  <c r="E185" i="11"/>
  <c r="F184" i="11"/>
  <c r="V184" i="11" s="1"/>
  <c r="E184" i="11"/>
  <c r="F183" i="11"/>
  <c r="X183" i="11" s="1"/>
  <c r="E183" i="11"/>
  <c r="T182" i="11"/>
  <c r="F182" i="11"/>
  <c r="V182" i="11" s="1"/>
  <c r="E182" i="11"/>
  <c r="X181" i="11"/>
  <c r="T181" i="11"/>
  <c r="F181" i="11"/>
  <c r="V181" i="11" s="1"/>
  <c r="E181" i="11"/>
  <c r="F180" i="11"/>
  <c r="X180" i="11" s="1"/>
  <c r="E180" i="11"/>
  <c r="F179" i="11"/>
  <c r="V179" i="11" s="1"/>
  <c r="E179" i="11"/>
  <c r="F178" i="11"/>
  <c r="V178" i="11" s="1"/>
  <c r="E178" i="11"/>
  <c r="F177" i="11"/>
  <c r="E177" i="11"/>
  <c r="F176" i="11"/>
  <c r="V176" i="11" s="1"/>
  <c r="E176" i="11"/>
  <c r="F175" i="11"/>
  <c r="V175" i="11" s="1"/>
  <c r="E175" i="11"/>
  <c r="T174" i="11"/>
  <c r="R174" i="11"/>
  <c r="F174" i="11"/>
  <c r="V174" i="11" s="1"/>
  <c r="E174" i="11"/>
  <c r="F173" i="11"/>
  <c r="V173" i="11" s="1"/>
  <c r="E173" i="11"/>
  <c r="F172" i="11"/>
  <c r="V172" i="11" s="1"/>
  <c r="E172" i="11"/>
  <c r="T171" i="11"/>
  <c r="R171" i="11"/>
  <c r="F171" i="11"/>
  <c r="V171" i="11" s="1"/>
  <c r="E171" i="11"/>
  <c r="F170" i="11"/>
  <c r="X170" i="11" s="1"/>
  <c r="E170" i="11"/>
  <c r="F169" i="11"/>
  <c r="V169" i="11" s="1"/>
  <c r="E169" i="11"/>
  <c r="T168" i="11"/>
  <c r="R168" i="11"/>
  <c r="F168" i="11"/>
  <c r="V168" i="11" s="1"/>
  <c r="E168" i="11"/>
  <c r="F167" i="11"/>
  <c r="X167" i="11" s="1"/>
  <c r="E167" i="11"/>
  <c r="F166" i="11"/>
  <c r="V166" i="11" s="1"/>
  <c r="E166" i="11"/>
  <c r="X165" i="11"/>
  <c r="F165" i="11"/>
  <c r="V165" i="11" s="1"/>
  <c r="E165" i="11"/>
  <c r="F164" i="11"/>
  <c r="X164" i="11" s="1"/>
  <c r="E164" i="11"/>
  <c r="F163" i="11"/>
  <c r="V163" i="11" s="1"/>
  <c r="E163" i="11"/>
  <c r="T162" i="11"/>
  <c r="F162" i="11"/>
  <c r="V162" i="11" s="1"/>
  <c r="E162" i="11"/>
  <c r="F161" i="11"/>
  <c r="Z161" i="11" s="1"/>
  <c r="E161" i="11"/>
  <c r="F160" i="11"/>
  <c r="V160" i="11" s="1"/>
  <c r="E160" i="11"/>
  <c r="F159" i="11"/>
  <c r="V159" i="11" s="1"/>
  <c r="E159" i="11"/>
  <c r="F158" i="11"/>
  <c r="V158" i="11" s="1"/>
  <c r="E158" i="11"/>
  <c r="F157" i="11"/>
  <c r="V157" i="11" s="1"/>
  <c r="E157" i="11"/>
  <c r="F156" i="11"/>
  <c r="V156" i="11" s="1"/>
  <c r="E156" i="11"/>
  <c r="F155" i="11"/>
  <c r="V155" i="11" s="1"/>
  <c r="E155" i="11"/>
  <c r="F154" i="11"/>
  <c r="X154" i="11" s="1"/>
  <c r="E154" i="11"/>
  <c r="X153" i="11"/>
  <c r="F153" i="11"/>
  <c r="V153" i="11" s="1"/>
  <c r="E153" i="11"/>
  <c r="F152" i="11"/>
  <c r="V152" i="11" s="1"/>
  <c r="E152" i="11"/>
  <c r="F151" i="11"/>
  <c r="X151" i="11" s="1"/>
  <c r="E151" i="11"/>
  <c r="F150" i="11"/>
  <c r="V150" i="11" s="1"/>
  <c r="E150" i="11"/>
  <c r="F149" i="11"/>
  <c r="V149" i="11" s="1"/>
  <c r="E149" i="11"/>
  <c r="L148" i="11"/>
  <c r="F148" i="11" s="1"/>
  <c r="X148" i="11" s="1"/>
  <c r="E148" i="11"/>
  <c r="L147" i="11"/>
  <c r="F147" i="11" s="1"/>
  <c r="R147" i="11" s="1"/>
  <c r="E147" i="11"/>
  <c r="L146" i="11"/>
  <c r="F146" i="11" s="1"/>
  <c r="T146" i="11" s="1"/>
  <c r="E146" i="11"/>
  <c r="F145" i="11"/>
  <c r="E145" i="11"/>
  <c r="F144" i="11"/>
  <c r="V144" i="11" s="1"/>
  <c r="E144" i="11"/>
  <c r="F143" i="11"/>
  <c r="V143" i="11" s="1"/>
  <c r="E143" i="11"/>
  <c r="F142" i="11"/>
  <c r="V142" i="11" s="1"/>
  <c r="E142" i="11"/>
  <c r="F141" i="11"/>
  <c r="E141" i="11"/>
  <c r="F140" i="11"/>
  <c r="V140" i="11" s="1"/>
  <c r="E140" i="11"/>
  <c r="F139" i="11"/>
  <c r="V139" i="11" s="1"/>
  <c r="E139" i="11"/>
  <c r="F138" i="11"/>
  <c r="V138" i="11" s="1"/>
  <c r="E138" i="11"/>
  <c r="F137" i="11"/>
  <c r="E137" i="11"/>
  <c r="F136" i="11"/>
  <c r="V136" i="11" s="1"/>
  <c r="E136" i="11"/>
  <c r="F135" i="11"/>
  <c r="V135" i="11" s="1"/>
  <c r="E135" i="11"/>
  <c r="F134" i="11"/>
  <c r="V134" i="11" s="1"/>
  <c r="E134" i="11"/>
  <c r="F133" i="11"/>
  <c r="E133" i="11"/>
  <c r="F132" i="11"/>
  <c r="V132" i="11" s="1"/>
  <c r="E132" i="11"/>
  <c r="F131" i="11"/>
  <c r="V131" i="11" s="1"/>
  <c r="E131" i="11"/>
  <c r="F130" i="11"/>
  <c r="V130" i="11" s="1"/>
  <c r="E130" i="11"/>
  <c r="F129" i="11"/>
  <c r="E129" i="11"/>
  <c r="F128" i="11"/>
  <c r="V128" i="11" s="1"/>
  <c r="E128" i="11"/>
  <c r="F127" i="11"/>
  <c r="V127" i="11" s="1"/>
  <c r="E127" i="11"/>
  <c r="F126" i="11"/>
  <c r="V126" i="11" s="1"/>
  <c r="E126" i="11"/>
  <c r="F125" i="11"/>
  <c r="E125" i="11"/>
  <c r="F124" i="11"/>
  <c r="V124" i="11" s="1"/>
  <c r="E124" i="11"/>
  <c r="F123" i="11"/>
  <c r="V123" i="11" s="1"/>
  <c r="E123" i="11"/>
  <c r="F122" i="11"/>
  <c r="V122" i="11" s="1"/>
  <c r="E122" i="11"/>
  <c r="F121" i="11"/>
  <c r="E121" i="11"/>
  <c r="F120" i="11"/>
  <c r="V120" i="11" s="1"/>
  <c r="E120" i="11"/>
  <c r="F119" i="11"/>
  <c r="V119" i="11" s="1"/>
  <c r="E119" i="11"/>
  <c r="F118" i="11"/>
  <c r="V118" i="11" s="1"/>
  <c r="E118" i="11"/>
  <c r="M117" i="11"/>
  <c r="L117" i="11"/>
  <c r="E117" i="11"/>
  <c r="F116" i="11"/>
  <c r="V116" i="11" s="1"/>
  <c r="E116" i="11"/>
  <c r="F115" i="11"/>
  <c r="V115" i="11" s="1"/>
  <c r="E115" i="11"/>
  <c r="F114" i="11"/>
  <c r="E114" i="11"/>
  <c r="F113" i="11"/>
  <c r="V113" i="11" s="1"/>
  <c r="E113" i="11"/>
  <c r="F112" i="11"/>
  <c r="V112" i="11" s="1"/>
  <c r="E112" i="11"/>
  <c r="F111" i="11"/>
  <c r="V111" i="11" s="1"/>
  <c r="E111" i="11"/>
  <c r="F110" i="11"/>
  <c r="E110" i="11"/>
  <c r="F109" i="11"/>
  <c r="V109" i="11" s="1"/>
  <c r="E109" i="11"/>
  <c r="F108" i="11"/>
  <c r="V108" i="11" s="1"/>
  <c r="E108" i="11"/>
  <c r="F107" i="11"/>
  <c r="Z107" i="11" s="1"/>
  <c r="E107" i="11"/>
  <c r="F106" i="11"/>
  <c r="T106" i="11" s="1"/>
  <c r="E106" i="11"/>
  <c r="F105" i="11"/>
  <c r="E105" i="11"/>
  <c r="F104" i="11"/>
  <c r="V104" i="11" s="1"/>
  <c r="E104" i="11"/>
  <c r="F103" i="11"/>
  <c r="Z103" i="11" s="1"/>
  <c r="E103" i="11"/>
  <c r="F102" i="11"/>
  <c r="V102" i="11" s="1"/>
  <c r="E102" i="11"/>
  <c r="F101" i="11"/>
  <c r="Z101" i="11" s="1"/>
  <c r="E101" i="11"/>
  <c r="F100" i="11"/>
  <c r="V100" i="11" s="1"/>
  <c r="E100" i="11"/>
  <c r="F99" i="11"/>
  <c r="Z99" i="11" s="1"/>
  <c r="E99" i="11"/>
  <c r="F98" i="11"/>
  <c r="V98" i="11" s="1"/>
  <c r="E98" i="11"/>
  <c r="F97" i="11"/>
  <c r="E97" i="11"/>
  <c r="F96" i="11"/>
  <c r="V96" i="11" s="1"/>
  <c r="E96" i="11"/>
  <c r="F95" i="11"/>
  <c r="Z95" i="11" s="1"/>
  <c r="E95" i="11"/>
  <c r="F94" i="11"/>
  <c r="V94" i="11" s="1"/>
  <c r="E94" i="11"/>
  <c r="F93" i="11"/>
  <c r="Z93" i="11" s="1"/>
  <c r="E93" i="11"/>
  <c r="F92" i="11"/>
  <c r="Z92" i="11" s="1"/>
  <c r="E92" i="11"/>
  <c r="F91" i="11"/>
  <c r="Z91" i="11" s="1"/>
  <c r="E91" i="11"/>
  <c r="F90" i="11"/>
  <c r="V90" i="11" s="1"/>
  <c r="E90" i="11"/>
  <c r="F89" i="11"/>
  <c r="V89" i="11" s="1"/>
  <c r="E89" i="11"/>
  <c r="F88" i="11"/>
  <c r="V88" i="11" s="1"/>
  <c r="E88" i="11"/>
  <c r="F87" i="11"/>
  <c r="V87" i="11" s="1"/>
  <c r="E87" i="11"/>
  <c r="F86" i="11"/>
  <c r="V86" i="11" s="1"/>
  <c r="E86" i="11"/>
  <c r="F85" i="11"/>
  <c r="V85" i="11" s="1"/>
  <c r="E85" i="11"/>
  <c r="F84" i="11"/>
  <c r="V84" i="11" s="1"/>
  <c r="E84" i="11"/>
  <c r="F83" i="11"/>
  <c r="V83" i="11" s="1"/>
  <c r="E83" i="11"/>
  <c r="G82" i="11"/>
  <c r="E82" i="11"/>
  <c r="G81" i="11"/>
  <c r="E81" i="11"/>
  <c r="G80" i="11"/>
  <c r="E80" i="11"/>
  <c r="F79" i="11"/>
  <c r="V79" i="11" s="1"/>
  <c r="E79" i="11"/>
  <c r="F78" i="11"/>
  <c r="V78" i="11" s="1"/>
  <c r="E78" i="11"/>
  <c r="F77" i="11"/>
  <c r="V77" i="11" s="1"/>
  <c r="E77" i="11"/>
  <c r="F76" i="11"/>
  <c r="V76" i="11" s="1"/>
  <c r="E76" i="11"/>
  <c r="F75" i="11"/>
  <c r="V75" i="11" s="1"/>
  <c r="E75" i="11"/>
  <c r="F74" i="11"/>
  <c r="V74" i="11" s="1"/>
  <c r="E74" i="11"/>
  <c r="F73" i="11"/>
  <c r="V73" i="11" s="1"/>
  <c r="E73" i="11"/>
  <c r="F72" i="11"/>
  <c r="V72" i="11" s="1"/>
  <c r="E72" i="11"/>
  <c r="F71" i="11"/>
  <c r="V71" i="11" s="1"/>
  <c r="E71" i="11"/>
  <c r="F70" i="11"/>
  <c r="V70" i="11" s="1"/>
  <c r="E70" i="11"/>
  <c r="F69" i="11"/>
  <c r="V69" i="11" s="1"/>
  <c r="E69" i="11"/>
  <c r="F68" i="11"/>
  <c r="V68" i="11" s="1"/>
  <c r="E68" i="11"/>
  <c r="F67" i="11"/>
  <c r="V67" i="11" s="1"/>
  <c r="E67" i="11"/>
  <c r="F66" i="11"/>
  <c r="V66" i="11" s="1"/>
  <c r="E66" i="11"/>
  <c r="F65" i="11"/>
  <c r="V65" i="11" s="1"/>
  <c r="E65" i="11"/>
  <c r="F64" i="11"/>
  <c r="V64" i="11" s="1"/>
  <c r="E64" i="11"/>
  <c r="F63" i="11"/>
  <c r="V63" i="11" s="1"/>
  <c r="E63" i="11"/>
  <c r="F62" i="11"/>
  <c r="V62" i="11" s="1"/>
  <c r="E62" i="11"/>
  <c r="F61" i="11"/>
  <c r="V61" i="11" s="1"/>
  <c r="E61" i="11"/>
  <c r="F60" i="11"/>
  <c r="V60" i="11" s="1"/>
  <c r="E60" i="11"/>
  <c r="F59" i="11"/>
  <c r="V59" i="11" s="1"/>
  <c r="E59" i="11"/>
  <c r="F58" i="11"/>
  <c r="V58" i="11" s="1"/>
  <c r="E58" i="11"/>
  <c r="F57" i="11"/>
  <c r="V57" i="11" s="1"/>
  <c r="E57" i="11"/>
  <c r="F56" i="11"/>
  <c r="V56" i="11" s="1"/>
  <c r="E56" i="11"/>
  <c r="F55" i="11"/>
  <c r="E55" i="11"/>
  <c r="F54" i="11"/>
  <c r="V54" i="11" s="1"/>
  <c r="E54" i="11"/>
  <c r="F53" i="11"/>
  <c r="X53" i="11" s="1"/>
  <c r="E53" i="11"/>
  <c r="F52" i="11"/>
  <c r="X52" i="11" s="1"/>
  <c r="E52" i="11"/>
  <c r="F51" i="11"/>
  <c r="X51" i="11" s="1"/>
  <c r="E51" i="11"/>
  <c r="F50" i="11"/>
  <c r="E50" i="11"/>
  <c r="F49" i="11"/>
  <c r="X49" i="11" s="1"/>
  <c r="E49" i="11"/>
  <c r="F48" i="11"/>
  <c r="X48" i="11" s="1"/>
  <c r="E48" i="11"/>
  <c r="F47" i="11"/>
  <c r="X47" i="11" s="1"/>
  <c r="E47" i="11"/>
  <c r="O46" i="11"/>
  <c r="F46" i="11" s="1"/>
  <c r="T46" i="11" s="1"/>
  <c r="E46" i="11"/>
  <c r="F45" i="11"/>
  <c r="T45" i="11" s="1"/>
  <c r="E45" i="11"/>
  <c r="Z44" i="11"/>
  <c r="X44" i="11"/>
  <c r="V44" i="11"/>
  <c r="T44" i="11"/>
  <c r="R44" i="11"/>
  <c r="E44" i="11"/>
  <c r="Z43" i="11"/>
  <c r="X43" i="11"/>
  <c r="V43" i="11"/>
  <c r="T43" i="11"/>
  <c r="R43" i="11"/>
  <c r="E43" i="11"/>
  <c r="Z42" i="11"/>
  <c r="X42" i="11"/>
  <c r="V42" i="11"/>
  <c r="T42" i="11"/>
  <c r="R42" i="11"/>
  <c r="E42" i="11"/>
  <c r="F41" i="11"/>
  <c r="V41" i="11" s="1"/>
  <c r="E41" i="11"/>
  <c r="M40" i="11"/>
  <c r="L40" i="11"/>
  <c r="E40" i="11"/>
  <c r="M39" i="11"/>
  <c r="L39" i="11"/>
  <c r="E39" i="11"/>
  <c r="M38" i="11"/>
  <c r="L38" i="11"/>
  <c r="E38" i="11"/>
  <c r="M37" i="11"/>
  <c r="L37" i="11"/>
  <c r="E37" i="11"/>
  <c r="O36" i="11"/>
  <c r="F36" i="11" s="1"/>
  <c r="V36" i="11" s="1"/>
  <c r="E36" i="11"/>
  <c r="O35" i="11"/>
  <c r="F35" i="11" s="1"/>
  <c r="X35" i="11" s="1"/>
  <c r="E35" i="11"/>
  <c r="F34" i="11"/>
  <c r="V34" i="11" s="1"/>
  <c r="E34" i="11"/>
  <c r="F33" i="11"/>
  <c r="X33" i="11" s="1"/>
  <c r="E33" i="11"/>
  <c r="F32" i="11"/>
  <c r="V32" i="11" s="1"/>
  <c r="E32" i="11"/>
  <c r="F31" i="11"/>
  <c r="E31" i="11"/>
  <c r="F30" i="11"/>
  <c r="V30" i="11" s="1"/>
  <c r="E30" i="11"/>
  <c r="F29" i="11"/>
  <c r="E29" i="11"/>
  <c r="Y28" i="11"/>
  <c r="W28" i="11"/>
  <c r="U28" i="11"/>
  <c r="S28" i="11"/>
  <c r="Q28" i="11"/>
  <c r="M28" i="11"/>
  <c r="L28" i="11"/>
  <c r="F28" i="11"/>
  <c r="T28" i="11" s="1"/>
  <c r="F27" i="11"/>
  <c r="V27" i="11" s="1"/>
  <c r="E27" i="11"/>
  <c r="F26" i="11"/>
  <c r="V26" i="11" s="1"/>
  <c r="E26" i="11"/>
  <c r="F25" i="11"/>
  <c r="V25" i="11" s="1"/>
  <c r="E25" i="11"/>
  <c r="M24" i="11"/>
  <c r="L24" i="11"/>
  <c r="F24" i="11"/>
  <c r="Z24" i="11" s="1"/>
  <c r="E24" i="11"/>
  <c r="F23" i="11"/>
  <c r="V23" i="11" s="1"/>
  <c r="E23" i="11"/>
  <c r="F22" i="11"/>
  <c r="V22" i="11" s="1"/>
  <c r="E22" i="11"/>
  <c r="F21" i="11"/>
  <c r="V21" i="11" s="1"/>
  <c r="E21" i="11"/>
  <c r="F20" i="11"/>
  <c r="T20" i="11" s="1"/>
  <c r="E20" i="11"/>
  <c r="F19" i="11"/>
  <c r="T19" i="11" s="1"/>
  <c r="E19" i="11"/>
  <c r="F18" i="11"/>
  <c r="T18" i="11" s="1"/>
  <c r="E18" i="11"/>
  <c r="F17" i="11"/>
  <c r="T17" i="11" s="1"/>
  <c r="E17" i="11"/>
  <c r="F16" i="11"/>
  <c r="T16" i="11" s="1"/>
  <c r="E16" i="11"/>
  <c r="F15" i="11"/>
  <c r="T15" i="11" s="1"/>
  <c r="E15" i="11"/>
  <c r="F14" i="11"/>
  <c r="T14" i="11" s="1"/>
  <c r="E14" i="11"/>
  <c r="F13" i="11"/>
  <c r="T13" i="11" s="1"/>
  <c r="E13" i="11"/>
  <c r="F12" i="11"/>
  <c r="T12" i="11" s="1"/>
  <c r="E12" i="11"/>
  <c r="F11" i="11"/>
  <c r="T11" i="11" s="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Z45" i="11" l="1"/>
  <c r="T98" i="11"/>
  <c r="Z196" i="11"/>
  <c r="X60" i="11"/>
  <c r="T104" i="11"/>
  <c r="R162" i="11"/>
  <c r="T163" i="11"/>
  <c r="T166" i="11"/>
  <c r="X185" i="11"/>
  <c r="Z65" i="6"/>
  <c r="Z327" i="6"/>
  <c r="Z244" i="6"/>
  <c r="T6" i="6"/>
  <c r="T73" i="6"/>
  <c r="T303" i="6"/>
  <c r="V345" i="6"/>
  <c r="T15" i="6"/>
  <c r="T16" i="6"/>
  <c r="X301" i="6"/>
  <c r="T212" i="6"/>
  <c r="X326" i="6"/>
  <c r="X28" i="6"/>
  <c r="T243" i="6"/>
  <c r="R50" i="6"/>
  <c r="T406" i="6"/>
  <c r="Z174" i="6"/>
  <c r="X257" i="6"/>
  <c r="Z62" i="6"/>
  <c r="Z31" i="6"/>
  <c r="X50" i="6"/>
  <c r="Z13" i="6"/>
  <c r="Z50" i="6"/>
  <c r="T135" i="6"/>
  <c r="Z166" i="6"/>
  <c r="T330" i="6"/>
  <c r="Z172" i="6"/>
  <c r="R48" i="6"/>
  <c r="X68" i="6"/>
  <c r="Z128" i="6"/>
  <c r="R151" i="6"/>
  <c r="V173" i="6"/>
  <c r="R20" i="6"/>
  <c r="Z29" i="6"/>
  <c r="Z52" i="6"/>
  <c r="T157" i="6"/>
  <c r="R170" i="6"/>
  <c r="X175" i="6"/>
  <c r="X176" i="6"/>
  <c r="R293" i="6"/>
  <c r="T375" i="6"/>
  <c r="X170" i="6"/>
  <c r="T293" i="6"/>
  <c r="X344" i="6"/>
  <c r="T374" i="6"/>
  <c r="Z34" i="6"/>
  <c r="X49" i="6"/>
  <c r="R55" i="6"/>
  <c r="R135" i="6"/>
  <c r="X150" i="6"/>
  <c r="Z170" i="6"/>
  <c r="R325" i="6"/>
  <c r="V98" i="6"/>
  <c r="R98" i="6"/>
  <c r="T98" i="6"/>
  <c r="X18" i="6"/>
  <c r="X20" i="6"/>
  <c r="R36" i="6"/>
  <c r="Z48" i="6"/>
  <c r="R54" i="6"/>
  <c r="R110" i="6"/>
  <c r="R111" i="6"/>
  <c r="R119" i="6"/>
  <c r="R149" i="6"/>
  <c r="R255" i="6"/>
  <c r="V302" i="6"/>
  <c r="T329" i="6"/>
  <c r="T401" i="6"/>
  <c r="R13" i="6"/>
  <c r="Z20" i="6"/>
  <c r="R31" i="6"/>
  <c r="R34" i="6"/>
  <c r="X35" i="6"/>
  <c r="X36" i="6"/>
  <c r="R52" i="6"/>
  <c r="X53" i="6"/>
  <c r="X54" i="6"/>
  <c r="Z56" i="6"/>
  <c r="R109" i="6"/>
  <c r="X110" i="6"/>
  <c r="X111" i="6"/>
  <c r="T119" i="6"/>
  <c r="T128" i="6"/>
  <c r="T129" i="6"/>
  <c r="T152" i="6"/>
  <c r="R243" i="6"/>
  <c r="R244" i="6"/>
  <c r="X255" i="6"/>
  <c r="R257" i="6"/>
  <c r="R291" i="6"/>
  <c r="T327" i="6"/>
  <c r="T399" i="6"/>
  <c r="Z36" i="6"/>
  <c r="Z54" i="6"/>
  <c r="T62" i="6"/>
  <c r="X119" i="6"/>
  <c r="Z255" i="6"/>
  <c r="Z18" i="6"/>
  <c r="R22" i="6"/>
  <c r="R33" i="6"/>
  <c r="Z35" i="6"/>
  <c r="R47" i="6"/>
  <c r="Z49" i="6"/>
  <c r="R51" i="6"/>
  <c r="Z53" i="6"/>
  <c r="R63" i="6"/>
  <c r="R97" i="6"/>
  <c r="R99" i="6"/>
  <c r="T109" i="6"/>
  <c r="Z110" i="6"/>
  <c r="T111" i="6"/>
  <c r="Z119" i="6"/>
  <c r="R128" i="6"/>
  <c r="X129" i="6"/>
  <c r="R133" i="6"/>
  <c r="X135" i="6"/>
  <c r="Z148" i="6"/>
  <c r="T149" i="6"/>
  <c r="Z150" i="6"/>
  <c r="T151" i="6"/>
  <c r="X152" i="6"/>
  <c r="R156" i="6"/>
  <c r="X157" i="6"/>
  <c r="R158" i="6"/>
  <c r="R165" i="6"/>
  <c r="Z257" i="6"/>
  <c r="X291" i="6"/>
  <c r="R292" i="6"/>
  <c r="X293" i="6"/>
  <c r="V327" i="6"/>
  <c r="T339" i="6"/>
  <c r="T349" i="6"/>
  <c r="T398" i="6"/>
  <c r="T405" i="6"/>
  <c r="Z99" i="6"/>
  <c r="Z133" i="6"/>
  <c r="X148" i="6"/>
  <c r="Z292" i="6"/>
  <c r="X22" i="6"/>
  <c r="X33" i="6"/>
  <c r="X47" i="6"/>
  <c r="X51" i="6"/>
  <c r="T63" i="6"/>
  <c r="V73" i="6"/>
  <c r="T99" i="6"/>
  <c r="X109" i="6"/>
  <c r="Z129" i="6"/>
  <c r="T133" i="6"/>
  <c r="Z135" i="6"/>
  <c r="R148" i="6"/>
  <c r="X149" i="6"/>
  <c r="R150" i="6"/>
  <c r="X151" i="6"/>
  <c r="Z152" i="6"/>
  <c r="T156" i="6"/>
  <c r="Z157" i="6"/>
  <c r="T158" i="6"/>
  <c r="X165" i="6"/>
  <c r="R166" i="6"/>
  <c r="Z291" i="6"/>
  <c r="T292" i="6"/>
  <c r="Z293" i="6"/>
  <c r="T338" i="6"/>
  <c r="T348" i="6"/>
  <c r="T376" i="6"/>
  <c r="T402" i="6"/>
  <c r="Z156" i="6"/>
  <c r="Z158" i="6"/>
  <c r="V6" i="6"/>
  <c r="T13" i="6"/>
  <c r="V15" i="6"/>
  <c r="R18" i="6"/>
  <c r="Z22" i="6"/>
  <c r="T31" i="6"/>
  <c r="Z33" i="6"/>
  <c r="X34" i="6"/>
  <c r="R35" i="6"/>
  <c r="Z47" i="6"/>
  <c r="X48" i="6"/>
  <c r="R49" i="6"/>
  <c r="Z51" i="6"/>
  <c r="X52" i="6"/>
  <c r="R53" i="6"/>
  <c r="Z63" i="6"/>
  <c r="X67" i="6"/>
  <c r="X99" i="6"/>
  <c r="Z109" i="6"/>
  <c r="T110" i="6"/>
  <c r="Z111" i="6"/>
  <c r="X128" i="6"/>
  <c r="R129" i="6"/>
  <c r="X133" i="6"/>
  <c r="T148" i="6"/>
  <c r="Z149" i="6"/>
  <c r="T150" i="6"/>
  <c r="Z151" i="6"/>
  <c r="R152" i="6"/>
  <c r="X156" i="6"/>
  <c r="R157" i="6"/>
  <c r="X158" i="6"/>
  <c r="Z165" i="6"/>
  <c r="X166" i="6"/>
  <c r="X292" i="6"/>
  <c r="X17" i="6"/>
  <c r="V17" i="6"/>
  <c r="T17" i="6"/>
  <c r="R17" i="6"/>
  <c r="X32" i="6"/>
  <c r="V32" i="6"/>
  <c r="T32" i="6"/>
  <c r="Z9" i="6"/>
  <c r="R9" i="6"/>
  <c r="X9" i="6"/>
  <c r="V9" i="6"/>
  <c r="Z17" i="6"/>
  <c r="R32" i="6"/>
  <c r="X65" i="6"/>
  <c r="V65" i="6"/>
  <c r="T65" i="6"/>
  <c r="V66" i="6"/>
  <c r="T66" i="6"/>
  <c r="Z66" i="6"/>
  <c r="R66" i="6"/>
  <c r="Z16" i="6"/>
  <c r="R16" i="6"/>
  <c r="X16" i="6"/>
  <c r="V16" i="6"/>
  <c r="V28" i="6"/>
  <c r="T28" i="6"/>
  <c r="Z28" i="6"/>
  <c r="R28" i="6"/>
  <c r="Z32" i="6"/>
  <c r="R65" i="6"/>
  <c r="X66" i="6"/>
  <c r="V88" i="6"/>
  <c r="V96" i="6"/>
  <c r="V159" i="6"/>
  <c r="T159" i="6"/>
  <c r="T171" i="6"/>
  <c r="Z171" i="6"/>
  <c r="R171" i="6"/>
  <c r="T305" i="6"/>
  <c r="Z305" i="6"/>
  <c r="R305" i="6"/>
  <c r="X305" i="6"/>
  <c r="X6" i="6"/>
  <c r="V13" i="6"/>
  <c r="X15" i="6"/>
  <c r="T18" i="6"/>
  <c r="T20" i="6"/>
  <c r="T22" i="6"/>
  <c r="V31" i="6"/>
  <c r="T33" i="6"/>
  <c r="T34" i="6"/>
  <c r="T35" i="6"/>
  <c r="T36" i="6"/>
  <c r="T47" i="6"/>
  <c r="T48" i="6"/>
  <c r="T49" i="6"/>
  <c r="T50" i="6"/>
  <c r="T51" i="6"/>
  <c r="T52" i="6"/>
  <c r="T53" i="6"/>
  <c r="T54" i="6"/>
  <c r="V62" i="6"/>
  <c r="V63" i="6"/>
  <c r="R67" i="6"/>
  <c r="Z67" i="6"/>
  <c r="R68" i="6"/>
  <c r="Z68" i="6"/>
  <c r="X73" i="6"/>
  <c r="X78" i="6"/>
  <c r="X83" i="6"/>
  <c r="X88" i="6"/>
  <c r="Z96" i="6"/>
  <c r="T97" i="6"/>
  <c r="X98" i="6"/>
  <c r="R159" i="6"/>
  <c r="V171" i="6"/>
  <c r="X243" i="6"/>
  <c r="V243" i="6"/>
  <c r="Z243" i="6"/>
  <c r="X244" i="6"/>
  <c r="T301" i="6"/>
  <c r="Z301" i="6"/>
  <c r="R301" i="6"/>
  <c r="T302" i="6"/>
  <c r="Z302" i="6"/>
  <c r="R302" i="6"/>
  <c r="V305" i="6"/>
  <c r="Z347" i="6"/>
  <c r="R347" i="6"/>
  <c r="X347" i="6"/>
  <c r="V347" i="6"/>
  <c r="Z304" i="6"/>
  <c r="R304" i="6"/>
  <c r="X304" i="6"/>
  <c r="R6" i="6"/>
  <c r="Z6" i="6"/>
  <c r="R15" i="6"/>
  <c r="Z15" i="6"/>
  <c r="T67" i="6"/>
  <c r="T68" i="6"/>
  <c r="R73" i="6"/>
  <c r="Z73" i="6"/>
  <c r="R78" i="6"/>
  <c r="Z78" i="6"/>
  <c r="R83" i="6"/>
  <c r="Z83" i="6"/>
  <c r="R88" i="6"/>
  <c r="Z88" i="6"/>
  <c r="R96" i="6"/>
  <c r="V97" i="6"/>
  <c r="Z98" i="6"/>
  <c r="X159" i="6"/>
  <c r="X171" i="6"/>
  <c r="T176" i="6"/>
  <c r="Z176" i="6"/>
  <c r="R176" i="6"/>
  <c r="G176" i="6" s="1"/>
  <c r="V301" i="6"/>
  <c r="Z303" i="6"/>
  <c r="R303" i="6"/>
  <c r="X303" i="6"/>
  <c r="V303" i="6"/>
  <c r="V304" i="6"/>
  <c r="T324" i="6"/>
  <c r="Z324" i="6"/>
  <c r="R324" i="6"/>
  <c r="X324" i="6"/>
  <c r="T345" i="6"/>
  <c r="Z345" i="6"/>
  <c r="R345" i="6"/>
  <c r="X345" i="6"/>
  <c r="V78" i="6"/>
  <c r="V83" i="6"/>
  <c r="T96" i="6"/>
  <c r="Z97" i="6"/>
  <c r="Z159" i="6"/>
  <c r="Z212" i="6"/>
  <c r="R212" i="6"/>
  <c r="X212" i="6"/>
  <c r="V212" i="6"/>
  <c r="V244" i="6"/>
  <c r="T244" i="6"/>
  <c r="T323" i="6"/>
  <c r="Z323" i="6"/>
  <c r="R323" i="6"/>
  <c r="X323" i="6"/>
  <c r="V326" i="6"/>
  <c r="T326" i="6"/>
  <c r="Z326" i="6"/>
  <c r="R326" i="6"/>
  <c r="T347" i="6"/>
  <c r="T165" i="6"/>
  <c r="T166" i="6"/>
  <c r="T170" i="6"/>
  <c r="T255" i="6"/>
  <c r="T257" i="6"/>
  <c r="T291" i="6"/>
  <c r="V329" i="6"/>
  <c r="V330" i="6"/>
  <c r="V338" i="6"/>
  <c r="V339" i="6"/>
  <c r="V348" i="6"/>
  <c r="V349" i="6"/>
  <c r="V374" i="6"/>
  <c r="V375" i="6"/>
  <c r="V376" i="6"/>
  <c r="V398" i="6"/>
  <c r="V399" i="6"/>
  <c r="V401" i="6"/>
  <c r="V402" i="6"/>
  <c r="V405" i="6"/>
  <c r="V406" i="6"/>
  <c r="X327" i="6"/>
  <c r="X329" i="6"/>
  <c r="X330" i="6"/>
  <c r="X338" i="6"/>
  <c r="X339" i="6"/>
  <c r="X348" i="6"/>
  <c r="X349" i="6"/>
  <c r="X374" i="6"/>
  <c r="X375" i="6"/>
  <c r="X376" i="6"/>
  <c r="X398" i="6"/>
  <c r="X399" i="6"/>
  <c r="X401" i="6"/>
  <c r="X402" i="6"/>
  <c r="X405" i="6"/>
  <c r="X406" i="6"/>
  <c r="R327" i="6"/>
  <c r="G327" i="6" s="1"/>
  <c r="R329" i="6"/>
  <c r="R330" i="6"/>
  <c r="G330" i="6" s="1"/>
  <c r="R338" i="6"/>
  <c r="R339" i="6"/>
  <c r="G339" i="6" s="1"/>
  <c r="R348" i="6"/>
  <c r="G348" i="6" s="1"/>
  <c r="R349" i="6"/>
  <c r="R374" i="6"/>
  <c r="G374" i="6" s="1"/>
  <c r="R375" i="6"/>
  <c r="G375" i="6" s="1"/>
  <c r="R376" i="6"/>
  <c r="G376" i="6" s="1"/>
  <c r="R398" i="6"/>
  <c r="G398" i="6" s="1"/>
  <c r="R399" i="6"/>
  <c r="R401" i="6"/>
  <c r="R402" i="6"/>
  <c r="R405" i="6"/>
  <c r="R406" i="6"/>
  <c r="X68" i="11"/>
  <c r="R83" i="11"/>
  <c r="T89" i="11"/>
  <c r="R90" i="11"/>
  <c r="T91" i="11"/>
  <c r="R116" i="11"/>
  <c r="Z152" i="11"/>
  <c r="Z184" i="11"/>
  <c r="X76" i="11"/>
  <c r="T83" i="11"/>
  <c r="X88" i="11"/>
  <c r="X89" i="11"/>
  <c r="X90" i="11"/>
  <c r="X91" i="11"/>
  <c r="T94" i="11"/>
  <c r="T100" i="11"/>
  <c r="X112" i="11"/>
  <c r="R113" i="11"/>
  <c r="X116" i="11"/>
  <c r="Z197" i="11"/>
  <c r="T32" i="11"/>
  <c r="X87" i="11"/>
  <c r="X93" i="11"/>
  <c r="R98" i="11"/>
  <c r="R104" i="11"/>
  <c r="Z111" i="11"/>
  <c r="Z112" i="11"/>
  <c r="R41" i="11"/>
  <c r="G43" i="11"/>
  <c r="X78" i="11"/>
  <c r="R84" i="11"/>
  <c r="T92" i="11"/>
  <c r="R108" i="11"/>
  <c r="Z115" i="11"/>
  <c r="R149" i="11"/>
  <c r="T150" i="11"/>
  <c r="R172" i="11"/>
  <c r="T176" i="11"/>
  <c r="R187" i="11"/>
  <c r="R190" i="11"/>
  <c r="T22" i="11"/>
  <c r="T23" i="11"/>
  <c r="X41" i="11"/>
  <c r="X56" i="11"/>
  <c r="X64" i="11"/>
  <c r="X72" i="11"/>
  <c r="X83" i="11"/>
  <c r="X84" i="11"/>
  <c r="T85" i="11"/>
  <c r="G85" i="11" s="1"/>
  <c r="R86" i="11"/>
  <c r="R87" i="11"/>
  <c r="R96" i="11"/>
  <c r="T102" i="11"/>
  <c r="R106" i="11"/>
  <c r="X108" i="11"/>
  <c r="R109" i="11"/>
  <c r="Z116" i="11"/>
  <c r="T149" i="11"/>
  <c r="R155" i="11"/>
  <c r="R156" i="11"/>
  <c r="X157" i="11"/>
  <c r="T158" i="11"/>
  <c r="R159" i="11"/>
  <c r="T160" i="11"/>
  <c r="R165" i="11"/>
  <c r="Z168" i="11"/>
  <c r="X169" i="11"/>
  <c r="Z171" i="11"/>
  <c r="T172" i="11"/>
  <c r="Z174" i="11"/>
  <c r="T175" i="11"/>
  <c r="R178" i="11"/>
  <c r="T179" i="11"/>
  <c r="R184" i="11"/>
  <c r="T187" i="11"/>
  <c r="R188" i="11"/>
  <c r="X189" i="11"/>
  <c r="T190" i="11"/>
  <c r="R191" i="11"/>
  <c r="Z192" i="11"/>
  <c r="Z193" i="11"/>
  <c r="X194" i="11"/>
  <c r="V198" i="11"/>
  <c r="T34" i="11"/>
  <c r="X62" i="11"/>
  <c r="X70" i="11"/>
  <c r="R85" i="11"/>
  <c r="R102" i="11"/>
  <c r="R158" i="11"/>
  <c r="T169" i="11"/>
  <c r="X173" i="11"/>
  <c r="R175" i="11"/>
  <c r="X193" i="11"/>
  <c r="R194" i="11"/>
  <c r="Z22" i="11"/>
  <c r="T30" i="11"/>
  <c r="R45" i="11"/>
  <c r="X58" i="11"/>
  <c r="X66" i="11"/>
  <c r="X74" i="11"/>
  <c r="X85" i="11"/>
  <c r="X86" i="11"/>
  <c r="T87" i="11"/>
  <c r="R88" i="11"/>
  <c r="R89" i="11"/>
  <c r="G89" i="11" s="1"/>
  <c r="R94" i="11"/>
  <c r="T96" i="11"/>
  <c r="R100" i="11"/>
  <c r="V106" i="11"/>
  <c r="Z108" i="11"/>
  <c r="X111" i="11"/>
  <c r="R112" i="11"/>
  <c r="R152" i="11"/>
  <c r="T153" i="11"/>
  <c r="Z155" i="11"/>
  <c r="T156" i="11"/>
  <c r="Z158" i="11"/>
  <c r="T159" i="11"/>
  <c r="T165" i="11"/>
  <c r="T178" i="11"/>
  <c r="R181" i="11"/>
  <c r="G181" i="11" s="1"/>
  <c r="T184" i="11"/>
  <c r="T185" i="11"/>
  <c r="Z187" i="11"/>
  <c r="T188" i="11"/>
  <c r="Z190" i="11"/>
  <c r="T191" i="11"/>
  <c r="Z194" i="11"/>
  <c r="X197" i="11"/>
  <c r="V24" i="11"/>
  <c r="V110" i="11"/>
  <c r="Z110" i="11"/>
  <c r="X110" i="11"/>
  <c r="R110" i="11"/>
  <c r="R22" i="11"/>
  <c r="X23" i="11"/>
  <c r="X24" i="11"/>
  <c r="F37" i="11"/>
  <c r="T37" i="11" s="1"/>
  <c r="F38" i="11"/>
  <c r="R38" i="11" s="1"/>
  <c r="Z41" i="11"/>
  <c r="V48" i="11"/>
  <c r="V49" i="11"/>
  <c r="V52" i="11"/>
  <c r="V53" i="11"/>
  <c r="X59" i="11"/>
  <c r="X63" i="11"/>
  <c r="X67" i="11"/>
  <c r="X71" i="11"/>
  <c r="X75" i="11"/>
  <c r="X79" i="11"/>
  <c r="Z83" i="11"/>
  <c r="G83" i="11" s="1"/>
  <c r="T84" i="11"/>
  <c r="Z85" i="11"/>
  <c r="T86" i="11"/>
  <c r="Z87" i="11"/>
  <c r="T88" i="11"/>
  <c r="Z89" i="11"/>
  <c r="T90" i="11"/>
  <c r="V91" i="11"/>
  <c r="R91" i="11"/>
  <c r="V99" i="11"/>
  <c r="X99" i="11"/>
  <c r="T99" i="11"/>
  <c r="R99" i="11"/>
  <c r="V164" i="11"/>
  <c r="T164" i="11"/>
  <c r="R164" i="11"/>
  <c r="Z164" i="11"/>
  <c r="V170" i="11"/>
  <c r="T170" i="11"/>
  <c r="R170" i="11"/>
  <c r="Z170" i="11"/>
  <c r="V101" i="11"/>
  <c r="X101" i="11"/>
  <c r="T101" i="11"/>
  <c r="R101" i="11"/>
  <c r="V167" i="11"/>
  <c r="T167" i="11"/>
  <c r="R167" i="11"/>
  <c r="Z167" i="11"/>
  <c r="V180" i="11"/>
  <c r="T180" i="11"/>
  <c r="R180" i="11"/>
  <c r="Z180" i="11"/>
  <c r="Z23" i="11"/>
  <c r="X28" i="11"/>
  <c r="V92" i="11"/>
  <c r="G92" i="11" s="1"/>
  <c r="X92" i="11"/>
  <c r="V97" i="11"/>
  <c r="X97" i="11"/>
  <c r="T97" i="11"/>
  <c r="R97" i="11"/>
  <c r="V105" i="11"/>
  <c r="X105" i="11"/>
  <c r="T105" i="11"/>
  <c r="R105" i="11"/>
  <c r="V114" i="11"/>
  <c r="Z114" i="11"/>
  <c r="X114" i="11"/>
  <c r="R114" i="11"/>
  <c r="V177" i="11"/>
  <c r="X177" i="11"/>
  <c r="T177" i="11"/>
  <c r="R177" i="11"/>
  <c r="V195" i="11"/>
  <c r="Z195" i="11"/>
  <c r="X195" i="11"/>
  <c r="R195" i="11"/>
  <c r="V186" i="11"/>
  <c r="T186" i="11"/>
  <c r="R186" i="11"/>
  <c r="Z186" i="11"/>
  <c r="X22" i="11"/>
  <c r="R23" i="11"/>
  <c r="T24" i="11"/>
  <c r="T26" i="11"/>
  <c r="E28" i="11"/>
  <c r="F39" i="11"/>
  <c r="Z39" i="11" s="1"/>
  <c r="F40" i="11"/>
  <c r="V40" i="11" s="1"/>
  <c r="T41" i="11"/>
  <c r="G44" i="11"/>
  <c r="V45" i="11"/>
  <c r="X57" i="11"/>
  <c r="X61" i="11"/>
  <c r="X65" i="11"/>
  <c r="X69" i="11"/>
  <c r="X73" i="11"/>
  <c r="X77" i="11"/>
  <c r="Z84" i="11"/>
  <c r="Z86" i="11"/>
  <c r="Z88" i="11"/>
  <c r="Z90" i="11"/>
  <c r="R92" i="11"/>
  <c r="V93" i="11"/>
  <c r="T93" i="11"/>
  <c r="R93" i="11"/>
  <c r="V95" i="11"/>
  <c r="X95" i="11"/>
  <c r="T95" i="11"/>
  <c r="R95" i="11"/>
  <c r="Z97" i="11"/>
  <c r="V103" i="11"/>
  <c r="X103" i="11"/>
  <c r="T103" i="11"/>
  <c r="R103" i="11"/>
  <c r="Z105" i="11"/>
  <c r="X147" i="11"/>
  <c r="Z147" i="11"/>
  <c r="V147" i="11"/>
  <c r="V151" i="11"/>
  <c r="T151" i="11"/>
  <c r="R151" i="11"/>
  <c r="Z151" i="11"/>
  <c r="V154" i="11"/>
  <c r="T154" i="11"/>
  <c r="R154" i="11"/>
  <c r="Z154" i="11"/>
  <c r="V161" i="11"/>
  <c r="X161" i="11"/>
  <c r="T161" i="11"/>
  <c r="R161" i="11"/>
  <c r="Z177" i="11"/>
  <c r="V183" i="11"/>
  <c r="T183" i="11"/>
  <c r="R183" i="11"/>
  <c r="Z183" i="11"/>
  <c r="X94" i="11"/>
  <c r="X96" i="11"/>
  <c r="X98" i="11"/>
  <c r="X100" i="11"/>
  <c r="X102" i="11"/>
  <c r="X104" i="11"/>
  <c r="Z106" i="11"/>
  <c r="X109" i="11"/>
  <c r="X113" i="11"/>
  <c r="X150" i="11"/>
  <c r="Z157" i="11"/>
  <c r="X160" i="11"/>
  <c r="X163" i="11"/>
  <c r="X166" i="11"/>
  <c r="Z173" i="11"/>
  <c r="X176" i="11"/>
  <c r="X179" i="11"/>
  <c r="X182" i="11"/>
  <c r="Z189" i="11"/>
  <c r="Z94" i="11"/>
  <c r="Z96" i="11"/>
  <c r="Z98" i="11"/>
  <c r="Z100" i="11"/>
  <c r="Z102" i="11"/>
  <c r="Z104" i="11"/>
  <c r="Z109" i="11"/>
  <c r="R111" i="11"/>
  <c r="Z113" i="11"/>
  <c r="R115" i="11"/>
  <c r="X149" i="11"/>
  <c r="Z150" i="11"/>
  <c r="T152" i="11"/>
  <c r="Z153" i="11"/>
  <c r="T155" i="11"/>
  <c r="X156" i="11"/>
  <c r="R157" i="11"/>
  <c r="X159" i="11"/>
  <c r="Z160" i="11"/>
  <c r="X162" i="11"/>
  <c r="Z163" i="11"/>
  <c r="Z166" i="11"/>
  <c r="Z169" i="11"/>
  <c r="X172" i="11"/>
  <c r="R173" i="11"/>
  <c r="X175" i="11"/>
  <c r="Z176" i="11"/>
  <c r="X178" i="11"/>
  <c r="Z179" i="11"/>
  <c r="Z182" i="11"/>
  <c r="Z185" i="11"/>
  <c r="X188" i="11"/>
  <c r="R189" i="11"/>
  <c r="X191" i="11"/>
  <c r="R192" i="11"/>
  <c r="R196" i="11"/>
  <c r="X115" i="11"/>
  <c r="F117" i="11"/>
  <c r="V117" i="11" s="1"/>
  <c r="Z149" i="11"/>
  <c r="R150" i="11"/>
  <c r="X152" i="11"/>
  <c r="R153" i="11"/>
  <c r="G153" i="11" s="1"/>
  <c r="X155" i="11"/>
  <c r="Z156" i="11"/>
  <c r="T157" i="11"/>
  <c r="X158" i="11"/>
  <c r="G158" i="11" s="1"/>
  <c r="Z159" i="11"/>
  <c r="R160" i="11"/>
  <c r="Z162" i="11"/>
  <c r="G162" i="11" s="1"/>
  <c r="R163" i="11"/>
  <c r="Z165" i="11"/>
  <c r="R166" i="11"/>
  <c r="X168" i="11"/>
  <c r="R169" i="11"/>
  <c r="X171" i="11"/>
  <c r="Z172" i="11"/>
  <c r="T173" i="11"/>
  <c r="X174" i="11"/>
  <c r="G174" i="11" s="1"/>
  <c r="Z175" i="11"/>
  <c r="R176" i="11"/>
  <c r="Z178" i="11"/>
  <c r="G178" i="11" s="1"/>
  <c r="R179" i="11"/>
  <c r="Z181" i="11"/>
  <c r="R182" i="11"/>
  <c r="X184" i="11"/>
  <c r="R185" i="11"/>
  <c r="X187" i="11"/>
  <c r="Z188" i="11"/>
  <c r="T189" i="11"/>
  <c r="X190" i="11"/>
  <c r="Z191" i="11"/>
  <c r="X192" i="11"/>
  <c r="R193" i="11"/>
  <c r="X196" i="11"/>
  <c r="R197" i="11"/>
  <c r="R198" i="11"/>
  <c r="S198" i="11" s="1"/>
  <c r="E198" i="11" s="1"/>
  <c r="X9" i="12"/>
  <c r="Z21" i="12"/>
  <c r="X24" i="12"/>
  <c r="Z45" i="12"/>
  <c r="T51" i="12"/>
  <c r="Z55" i="12"/>
  <c r="Z86" i="12"/>
  <c r="X128" i="12"/>
  <c r="Z17" i="12"/>
  <c r="R32" i="12"/>
  <c r="G32" i="12" s="1"/>
  <c r="T39" i="12"/>
  <c r="Z47" i="12"/>
  <c r="Z53" i="12"/>
  <c r="V61" i="12"/>
  <c r="X76" i="12"/>
  <c r="Z77" i="12"/>
  <c r="T80" i="12"/>
  <c r="Z90" i="12"/>
  <c r="T140" i="12"/>
  <c r="T138" i="12"/>
  <c r="G138" i="12" s="1"/>
  <c r="X20" i="12"/>
  <c r="R43" i="12"/>
  <c r="R49" i="12"/>
  <c r="T50" i="12"/>
  <c r="Z85" i="12"/>
  <c r="X13" i="12"/>
  <c r="Z19" i="12"/>
  <c r="R23" i="12"/>
  <c r="R25" i="12"/>
  <c r="T40" i="12"/>
  <c r="G40" i="12" s="1"/>
  <c r="Z43" i="12"/>
  <c r="R47" i="12"/>
  <c r="Z49" i="12"/>
  <c r="Z51" i="12"/>
  <c r="R55" i="12"/>
  <c r="V63" i="12"/>
  <c r="R75" i="12"/>
  <c r="G75" i="12" s="1"/>
  <c r="R76" i="12"/>
  <c r="Z88" i="12"/>
  <c r="Z92" i="12"/>
  <c r="T132" i="12"/>
  <c r="X11" i="12"/>
  <c r="R19" i="12"/>
  <c r="R57" i="12"/>
  <c r="G57" i="12" s="1"/>
  <c r="V60" i="12"/>
  <c r="Z89" i="12"/>
  <c r="Z130" i="12"/>
  <c r="X23" i="12"/>
  <c r="Z25" i="12"/>
  <c r="T47" i="12"/>
  <c r="T55" i="12"/>
  <c r="T76" i="12"/>
  <c r="R126" i="12"/>
  <c r="T134" i="12"/>
  <c r="X140" i="12"/>
  <c r="X8" i="12"/>
  <c r="X12" i="12"/>
  <c r="X16" i="12"/>
  <c r="Z18" i="12"/>
  <c r="X19" i="12"/>
  <c r="R20" i="12"/>
  <c r="Z22" i="12"/>
  <c r="R24" i="12"/>
  <c r="Z44" i="12"/>
  <c r="T45" i="12"/>
  <c r="R46" i="12"/>
  <c r="Z48" i="12"/>
  <c r="T49" i="12"/>
  <c r="R50" i="12"/>
  <c r="Z52" i="12"/>
  <c r="T53" i="12"/>
  <c r="R54" i="12"/>
  <c r="Z56" i="12"/>
  <c r="Z76" i="12"/>
  <c r="T77" i="12"/>
  <c r="T78" i="12"/>
  <c r="R79" i="12"/>
  <c r="V80" i="12"/>
  <c r="R85" i="12"/>
  <c r="R86" i="12"/>
  <c r="R87" i="12"/>
  <c r="R88" i="12"/>
  <c r="R89" i="12"/>
  <c r="R90" i="12"/>
  <c r="R91" i="12"/>
  <c r="R92" i="12"/>
  <c r="X129" i="12"/>
  <c r="X131" i="12"/>
  <c r="R132" i="12"/>
  <c r="X133" i="12"/>
  <c r="R134" i="12"/>
  <c r="X135" i="12"/>
  <c r="R136" i="12"/>
  <c r="X137" i="12"/>
  <c r="R138" i="12"/>
  <c r="X139" i="12"/>
  <c r="R140" i="12"/>
  <c r="X141" i="12"/>
  <c r="G31" i="12"/>
  <c r="Z131" i="12"/>
  <c r="Z133" i="12"/>
  <c r="Z135" i="12"/>
  <c r="Z137" i="12"/>
  <c r="Z139" i="12"/>
  <c r="Z141" i="12"/>
  <c r="X6" i="12"/>
  <c r="X10" i="12"/>
  <c r="X14" i="12"/>
  <c r="R18" i="12"/>
  <c r="Z20" i="12"/>
  <c r="X21" i="12"/>
  <c r="R22" i="12"/>
  <c r="Z24" i="12"/>
  <c r="X25" i="12"/>
  <c r="R26" i="12"/>
  <c r="R27" i="12"/>
  <c r="G27" i="12" s="1"/>
  <c r="R28" i="12"/>
  <c r="G28" i="12" s="1"/>
  <c r="R36" i="12"/>
  <c r="G36" i="12" s="1"/>
  <c r="R37" i="12"/>
  <c r="G37" i="12" s="1"/>
  <c r="T42" i="12"/>
  <c r="G42" i="12" s="1"/>
  <c r="T43" i="12"/>
  <c r="R44" i="12"/>
  <c r="Z46" i="12"/>
  <c r="R48" i="12"/>
  <c r="Z50" i="12"/>
  <c r="R52" i="12"/>
  <c r="Z54" i="12"/>
  <c r="R56" i="12"/>
  <c r="T82" i="12"/>
  <c r="R83" i="12"/>
  <c r="X127" i="12"/>
  <c r="R131" i="12"/>
  <c r="G131" i="12" s="1"/>
  <c r="X132" i="12"/>
  <c r="R133" i="12"/>
  <c r="X134" i="12"/>
  <c r="R135" i="12"/>
  <c r="G135" i="12" s="1"/>
  <c r="X136" i="12"/>
  <c r="R137" i="12"/>
  <c r="X138" i="12"/>
  <c r="R139" i="12"/>
  <c r="R141" i="12"/>
  <c r="X18" i="12"/>
  <c r="X22" i="12"/>
  <c r="Z26" i="12"/>
  <c r="T44" i="12"/>
  <c r="T48" i="12"/>
  <c r="T52" i="12"/>
  <c r="T56" i="12"/>
  <c r="V82" i="12"/>
  <c r="T131" i="12"/>
  <c r="Z132" i="12"/>
  <c r="T133" i="12"/>
  <c r="G133" i="12" s="1"/>
  <c r="Z134" i="12"/>
  <c r="T135" i="12"/>
  <c r="Z136" i="12"/>
  <c r="T137" i="12"/>
  <c r="G137" i="12" s="1"/>
  <c r="Z138" i="12"/>
  <c r="T139" i="12"/>
  <c r="Z140" i="12"/>
  <c r="T141" i="12"/>
  <c r="G141" i="12" s="1"/>
  <c r="X6" i="14"/>
  <c r="R19" i="14"/>
  <c r="R20" i="14"/>
  <c r="X27" i="14"/>
  <c r="R10" i="14"/>
  <c r="X28" i="14"/>
  <c r="X10" i="14"/>
  <c r="R11" i="14"/>
  <c r="G11" i="14" s="1"/>
  <c r="T19" i="14"/>
  <c r="X8" i="14"/>
  <c r="Z10" i="14"/>
  <c r="X11" i="14"/>
  <c r="R12" i="14"/>
  <c r="X15" i="14"/>
  <c r="Z19" i="14"/>
  <c r="T20" i="14"/>
  <c r="X26" i="14"/>
  <c r="Z14" i="13"/>
  <c r="T15" i="13"/>
  <c r="Z16" i="13"/>
  <c r="T23" i="13"/>
  <c r="X14" i="13"/>
  <c r="R14" i="13"/>
  <c r="X15" i="13"/>
  <c r="G15" i="13" s="1"/>
  <c r="R16" i="13"/>
  <c r="G16" i="13" s="1"/>
  <c r="R19" i="13"/>
  <c r="T26" i="13"/>
  <c r="T14" i="13"/>
  <c r="Z15" i="13"/>
  <c r="Z19" i="13"/>
  <c r="V14" i="14"/>
  <c r="T14" i="14"/>
  <c r="Z14" i="14"/>
  <c r="R14" i="14"/>
  <c r="X14" i="14"/>
  <c r="R6" i="14"/>
  <c r="Z6" i="14"/>
  <c r="R7" i="14"/>
  <c r="Z7" i="14"/>
  <c r="R8" i="14"/>
  <c r="G8" i="14" s="1"/>
  <c r="Z8" i="14"/>
  <c r="T10" i="14"/>
  <c r="T11" i="14"/>
  <c r="T12" i="14"/>
  <c r="G12" i="14" s="1"/>
  <c r="T13" i="14"/>
  <c r="G13" i="14" s="1"/>
  <c r="R15" i="14"/>
  <c r="Z15" i="14"/>
  <c r="V18" i="14"/>
  <c r="G18" i="14" s="1"/>
  <c r="V19" i="14"/>
  <c r="V20" i="14"/>
  <c r="X22" i="14"/>
  <c r="X23" i="14"/>
  <c r="X45" i="14" s="1"/>
  <c r="X24" i="14"/>
  <c r="R26" i="14"/>
  <c r="Z26" i="14"/>
  <c r="R27" i="14"/>
  <c r="G27" i="14" s="1"/>
  <c r="Z27" i="14"/>
  <c r="R28" i="14"/>
  <c r="Z28" i="14"/>
  <c r="R29" i="14"/>
  <c r="Z29" i="14"/>
  <c r="X30" i="14"/>
  <c r="T6" i="14"/>
  <c r="T7" i="14"/>
  <c r="T8" i="14"/>
  <c r="T15" i="14"/>
  <c r="R22" i="14"/>
  <c r="Z22" i="14"/>
  <c r="R23" i="14"/>
  <c r="Z23" i="14"/>
  <c r="R24" i="14"/>
  <c r="Z24" i="14"/>
  <c r="T26" i="14"/>
  <c r="T27" i="14"/>
  <c r="T28" i="14"/>
  <c r="T29" i="14"/>
  <c r="R30" i="14"/>
  <c r="Z30" i="14"/>
  <c r="V22" i="14"/>
  <c r="V23" i="14"/>
  <c r="V24" i="14"/>
  <c r="V20" i="13"/>
  <c r="Z20" i="13"/>
  <c r="T20" i="13"/>
  <c r="R20" i="13"/>
  <c r="X20" i="13"/>
  <c r="G19" i="13"/>
  <c r="T17" i="13"/>
  <c r="X17" i="13"/>
  <c r="Z17" i="13"/>
  <c r="R17" i="13"/>
  <c r="V17" i="13"/>
  <c r="T21" i="13"/>
  <c r="X21" i="13"/>
  <c r="V21" i="13"/>
  <c r="Z21" i="13"/>
  <c r="R21" i="13"/>
  <c r="T19" i="13"/>
  <c r="V22" i="13"/>
  <c r="X11" i="13"/>
  <c r="X18" i="13"/>
  <c r="V19" i="13"/>
  <c r="X22" i="13"/>
  <c r="X23" i="13"/>
  <c r="X24" i="13"/>
  <c r="X25" i="13"/>
  <c r="X26" i="13"/>
  <c r="T18" i="13"/>
  <c r="T22" i="13"/>
  <c r="V11" i="13"/>
  <c r="V18" i="13"/>
  <c r="V23" i="13"/>
  <c r="V24" i="13"/>
  <c r="V25" i="13"/>
  <c r="V26" i="13"/>
  <c r="R11" i="13"/>
  <c r="R18" i="13"/>
  <c r="R22" i="13"/>
  <c r="R23" i="13"/>
  <c r="R24" i="13"/>
  <c r="R25" i="13"/>
  <c r="R26" i="13"/>
  <c r="V5" i="12"/>
  <c r="X5" i="12"/>
  <c r="T5" i="12"/>
  <c r="Z5" i="12"/>
  <c r="R5" i="12"/>
  <c r="T73" i="12"/>
  <c r="Z73" i="12"/>
  <c r="R73" i="12"/>
  <c r="X73" i="12"/>
  <c r="R6" i="12"/>
  <c r="Z6" i="12"/>
  <c r="R7" i="12"/>
  <c r="Z7" i="12"/>
  <c r="R8" i="12"/>
  <c r="Z8" i="12"/>
  <c r="R9" i="12"/>
  <c r="Z9" i="12"/>
  <c r="R10" i="12"/>
  <c r="Z10" i="12"/>
  <c r="R11" i="12"/>
  <c r="Z11" i="12"/>
  <c r="R12" i="12"/>
  <c r="Z12" i="12"/>
  <c r="R13" i="12"/>
  <c r="Z13" i="12"/>
  <c r="R14" i="12"/>
  <c r="Z14" i="12"/>
  <c r="R15" i="12"/>
  <c r="Z15" i="12"/>
  <c r="R16" i="12"/>
  <c r="Z16" i="12"/>
  <c r="R17" i="12"/>
  <c r="T18" i="12"/>
  <c r="T19" i="12"/>
  <c r="T20" i="12"/>
  <c r="G20" i="12" s="1"/>
  <c r="T21" i="12"/>
  <c r="T22" i="12"/>
  <c r="T23" i="12"/>
  <c r="T24" i="12"/>
  <c r="T25" i="12"/>
  <c r="G25" i="12" s="1"/>
  <c r="T26" i="12"/>
  <c r="R29" i="12"/>
  <c r="G29" i="12" s="1"/>
  <c r="R33" i="12"/>
  <c r="G33" i="12" s="1"/>
  <c r="R35" i="12"/>
  <c r="G35" i="12" s="1"/>
  <c r="Z60" i="12"/>
  <c r="R60" i="12"/>
  <c r="X60" i="12"/>
  <c r="Z61" i="12"/>
  <c r="R61" i="12"/>
  <c r="X61" i="12"/>
  <c r="Z62" i="12"/>
  <c r="R62" i="12"/>
  <c r="X62" i="12"/>
  <c r="Z63" i="12"/>
  <c r="R63" i="12"/>
  <c r="X63" i="12"/>
  <c r="T64" i="12"/>
  <c r="Z64" i="12"/>
  <c r="R64" i="12"/>
  <c r="X64" i="12"/>
  <c r="T68" i="12"/>
  <c r="Z68" i="12"/>
  <c r="R68" i="12"/>
  <c r="X68" i="12"/>
  <c r="T72" i="12"/>
  <c r="Z72" i="12"/>
  <c r="R72" i="12"/>
  <c r="X72" i="12"/>
  <c r="V73" i="12"/>
  <c r="T65" i="12"/>
  <c r="Z65" i="12"/>
  <c r="R65" i="12"/>
  <c r="X65" i="12"/>
  <c r="T69" i="12"/>
  <c r="Z69" i="12"/>
  <c r="R69" i="12"/>
  <c r="X69" i="12"/>
  <c r="T6" i="12"/>
  <c r="T7" i="12"/>
  <c r="T8" i="12"/>
  <c r="T9" i="12"/>
  <c r="T10" i="12"/>
  <c r="T11" i="12"/>
  <c r="T12" i="12"/>
  <c r="T13" i="12"/>
  <c r="T14" i="12"/>
  <c r="T15" i="12"/>
  <c r="T16" i="12"/>
  <c r="T17" i="12"/>
  <c r="R30" i="12"/>
  <c r="G30" i="12" s="1"/>
  <c r="T34" i="12"/>
  <c r="G34" i="12" s="1"/>
  <c r="G39" i="12"/>
  <c r="T41" i="12"/>
  <c r="R41" i="12"/>
  <c r="T59" i="12"/>
  <c r="R59" i="12"/>
  <c r="T67" i="12"/>
  <c r="Z67" i="12"/>
  <c r="R67" i="12"/>
  <c r="X67" i="12"/>
  <c r="T71" i="12"/>
  <c r="Z71" i="12"/>
  <c r="R71" i="12"/>
  <c r="X71" i="12"/>
  <c r="T66" i="12"/>
  <c r="Z66" i="12"/>
  <c r="R66" i="12"/>
  <c r="X66" i="12"/>
  <c r="T70" i="12"/>
  <c r="Z70" i="12"/>
  <c r="R70" i="12"/>
  <c r="X70" i="12"/>
  <c r="T74" i="12"/>
  <c r="R74" i="12"/>
  <c r="V43" i="12"/>
  <c r="V44" i="12"/>
  <c r="V45" i="12"/>
  <c r="V46" i="12"/>
  <c r="G46" i="12" s="1"/>
  <c r="V47" i="12"/>
  <c r="V48" i="12"/>
  <c r="V49" i="12"/>
  <c r="V50" i="12"/>
  <c r="G50" i="12" s="1"/>
  <c r="V51" i="12"/>
  <c r="V52" i="12"/>
  <c r="V53" i="12"/>
  <c r="G53" i="12" s="1"/>
  <c r="V54" i="12"/>
  <c r="G54" i="12" s="1"/>
  <c r="V55" i="12"/>
  <c r="G55" i="12" s="1"/>
  <c r="V56" i="12"/>
  <c r="Z78" i="12"/>
  <c r="T79" i="12"/>
  <c r="G79" i="12" s="1"/>
  <c r="Z80" i="12"/>
  <c r="T81" i="12"/>
  <c r="Z82" i="12"/>
  <c r="T83" i="12"/>
  <c r="X84" i="12"/>
  <c r="V84" i="12"/>
  <c r="T84" i="12"/>
  <c r="G126" i="12"/>
  <c r="V77" i="12"/>
  <c r="R78" i="12"/>
  <c r="V79" i="12"/>
  <c r="R80" i="12"/>
  <c r="G80" i="12" s="1"/>
  <c r="V81" i="12"/>
  <c r="R82" i="12"/>
  <c r="V83" i="12"/>
  <c r="R84" i="12"/>
  <c r="Z79" i="12"/>
  <c r="Z81" i="12"/>
  <c r="Z83" i="12"/>
  <c r="T85" i="12"/>
  <c r="T86" i="12"/>
  <c r="T87" i="12"/>
  <c r="T88" i="12"/>
  <c r="T89" i="12"/>
  <c r="T90" i="12"/>
  <c r="T91" i="12"/>
  <c r="T92" i="12"/>
  <c r="R127" i="12"/>
  <c r="Z127" i="12"/>
  <c r="R128" i="12"/>
  <c r="Z128" i="12"/>
  <c r="R129" i="12"/>
  <c r="Z129" i="12"/>
  <c r="R130" i="12"/>
  <c r="G139" i="12"/>
  <c r="V85" i="12"/>
  <c r="V86" i="12"/>
  <c r="V87" i="12"/>
  <c r="V88" i="12"/>
  <c r="V89" i="12"/>
  <c r="V90" i="12"/>
  <c r="V91" i="12"/>
  <c r="V92" i="12"/>
  <c r="T127" i="12"/>
  <c r="T128" i="12"/>
  <c r="T129" i="12"/>
  <c r="T130" i="12"/>
  <c r="X130" i="12"/>
  <c r="R40" i="11"/>
  <c r="V12" i="11"/>
  <c r="V14" i="11"/>
  <c r="V15" i="11"/>
  <c r="V16" i="11"/>
  <c r="V18" i="11"/>
  <c r="Z31" i="11"/>
  <c r="R31" i="11"/>
  <c r="X31" i="11"/>
  <c r="T50" i="11"/>
  <c r="Z50" i="11"/>
  <c r="R50" i="11"/>
  <c r="X11" i="11"/>
  <c r="X12" i="11"/>
  <c r="X13" i="11"/>
  <c r="X14" i="11"/>
  <c r="X15" i="11"/>
  <c r="X16" i="11"/>
  <c r="X17" i="11"/>
  <c r="X18" i="11"/>
  <c r="X19" i="11"/>
  <c r="X20" i="11"/>
  <c r="Z21" i="11"/>
  <c r="Z25" i="11"/>
  <c r="R25" i="11"/>
  <c r="X25" i="11"/>
  <c r="Z27" i="11"/>
  <c r="R27" i="11"/>
  <c r="X27" i="11"/>
  <c r="V35" i="11"/>
  <c r="Z36" i="11"/>
  <c r="Z46" i="11"/>
  <c r="R46" i="11"/>
  <c r="V46" i="11"/>
  <c r="T51" i="11"/>
  <c r="Z51" i="11"/>
  <c r="R51" i="11"/>
  <c r="V55" i="11"/>
  <c r="T55" i="11"/>
  <c r="Z55" i="11"/>
  <c r="R55" i="11"/>
  <c r="T125" i="11"/>
  <c r="Z125" i="11"/>
  <c r="R125" i="11"/>
  <c r="X125" i="11"/>
  <c r="V125" i="11"/>
  <c r="T141" i="11"/>
  <c r="Z141" i="11"/>
  <c r="R141" i="11"/>
  <c r="X141" i="11"/>
  <c r="V141" i="11"/>
  <c r="V11" i="11"/>
  <c r="V19" i="11"/>
  <c r="Z29" i="11"/>
  <c r="R29" i="11"/>
  <c r="Z33" i="11"/>
  <c r="R33" i="11"/>
  <c r="T35" i="11"/>
  <c r="X36" i="11"/>
  <c r="X37" i="11"/>
  <c r="Z47" i="11"/>
  <c r="R47" i="11"/>
  <c r="T129" i="11"/>
  <c r="Z129" i="11"/>
  <c r="R129" i="11"/>
  <c r="X129" i="11"/>
  <c r="V129" i="11"/>
  <c r="T145" i="11"/>
  <c r="Z145" i="11"/>
  <c r="R145" i="11"/>
  <c r="X145" i="11"/>
  <c r="V145" i="11"/>
  <c r="R11" i="11"/>
  <c r="Z11" i="11"/>
  <c r="R12" i="11"/>
  <c r="Z12" i="11"/>
  <c r="R13" i="11"/>
  <c r="Z13" i="11"/>
  <c r="R14" i="11"/>
  <c r="Z14" i="11"/>
  <c r="R15" i="11"/>
  <c r="Z15" i="11"/>
  <c r="R16" i="11"/>
  <c r="Z16" i="11"/>
  <c r="R17" i="11"/>
  <c r="Z17" i="11"/>
  <c r="R18" i="11"/>
  <c r="Z18" i="11"/>
  <c r="R19" i="11"/>
  <c r="Z19" i="11"/>
  <c r="R20" i="11"/>
  <c r="Z20" i="11"/>
  <c r="R21" i="11"/>
  <c r="T29" i="11"/>
  <c r="Z30" i="11"/>
  <c r="R30" i="11"/>
  <c r="X30" i="11"/>
  <c r="T31" i="11"/>
  <c r="Z32" i="11"/>
  <c r="R32" i="11"/>
  <c r="X32" i="11"/>
  <c r="T33" i="11"/>
  <c r="Z34" i="11"/>
  <c r="R34" i="11"/>
  <c r="X34" i="11"/>
  <c r="Z35" i="11"/>
  <c r="R36" i="11"/>
  <c r="G42" i="11"/>
  <c r="X45" i="11"/>
  <c r="X46" i="11"/>
  <c r="T47" i="11"/>
  <c r="T48" i="11"/>
  <c r="Z48" i="11"/>
  <c r="R48" i="11"/>
  <c r="V50" i="11"/>
  <c r="T52" i="11"/>
  <c r="Z52" i="11"/>
  <c r="R52" i="11"/>
  <c r="V107" i="11"/>
  <c r="T107" i="11"/>
  <c r="X107" i="11"/>
  <c r="R107" i="11"/>
  <c r="T121" i="11"/>
  <c r="Z121" i="11"/>
  <c r="R121" i="11"/>
  <c r="X121" i="11"/>
  <c r="V121" i="11"/>
  <c r="T137" i="11"/>
  <c r="Z137" i="11"/>
  <c r="R137" i="11"/>
  <c r="X137" i="11"/>
  <c r="V137" i="11"/>
  <c r="V13" i="11"/>
  <c r="V17" i="11"/>
  <c r="V20" i="11"/>
  <c r="X21" i="11"/>
  <c r="X29" i="11"/>
  <c r="R37" i="11"/>
  <c r="T54" i="11"/>
  <c r="Z54" i="11"/>
  <c r="R54" i="11"/>
  <c r="T21" i="11"/>
  <c r="T25" i="11"/>
  <c r="Z26" i="11"/>
  <c r="R26" i="11"/>
  <c r="X26" i="11"/>
  <c r="T27" i="11"/>
  <c r="Z28" i="11"/>
  <c r="V28" i="11"/>
  <c r="R28" i="11"/>
  <c r="V29" i="11"/>
  <c r="V31" i="11"/>
  <c r="V33" i="11"/>
  <c r="R35" i="11"/>
  <c r="T36" i="11"/>
  <c r="V47" i="11"/>
  <c r="T49" i="11"/>
  <c r="Z49" i="11"/>
  <c r="R49" i="11"/>
  <c r="X50" i="11"/>
  <c r="V51" i="11"/>
  <c r="T53" i="11"/>
  <c r="Z53" i="11"/>
  <c r="R53" i="11"/>
  <c r="X54" i="11"/>
  <c r="X55" i="11"/>
  <c r="T133" i="11"/>
  <c r="Z133" i="11"/>
  <c r="R133" i="11"/>
  <c r="X133" i="11"/>
  <c r="V133" i="11"/>
  <c r="R24" i="11"/>
  <c r="R56" i="11"/>
  <c r="Z56" i="11"/>
  <c r="R57" i="11"/>
  <c r="Z57" i="11"/>
  <c r="R58" i="11"/>
  <c r="Z58" i="11"/>
  <c r="R59" i="11"/>
  <c r="Z59" i="11"/>
  <c r="R60" i="11"/>
  <c r="Z60" i="11"/>
  <c r="R61" i="11"/>
  <c r="Z61" i="11"/>
  <c r="R62" i="11"/>
  <c r="Z62" i="11"/>
  <c r="R63" i="11"/>
  <c r="Z63" i="11"/>
  <c r="R64" i="11"/>
  <c r="Z64" i="11"/>
  <c r="R65" i="11"/>
  <c r="Z65" i="11"/>
  <c r="R66" i="11"/>
  <c r="Z66" i="11"/>
  <c r="R67" i="11"/>
  <c r="Z67" i="11"/>
  <c r="R68" i="11"/>
  <c r="Z68" i="11"/>
  <c r="R69" i="11"/>
  <c r="Z69" i="11"/>
  <c r="R70" i="11"/>
  <c r="Z70" i="11"/>
  <c r="R71" i="11"/>
  <c r="Z71" i="11"/>
  <c r="R72" i="11"/>
  <c r="Z72" i="11"/>
  <c r="R73" i="11"/>
  <c r="Z73" i="11"/>
  <c r="R74" i="11"/>
  <c r="Z74" i="11"/>
  <c r="R75" i="11"/>
  <c r="Z75" i="11"/>
  <c r="R76" i="11"/>
  <c r="Z76" i="11"/>
  <c r="R77" i="11"/>
  <c r="Z77" i="11"/>
  <c r="R78" i="11"/>
  <c r="Z78" i="11"/>
  <c r="R79" i="11"/>
  <c r="Z79" i="11"/>
  <c r="X106" i="11"/>
  <c r="T120" i="11"/>
  <c r="Z120" i="11"/>
  <c r="R120" i="11"/>
  <c r="X120" i="11"/>
  <c r="T124" i="11"/>
  <c r="Z124" i="11"/>
  <c r="R124" i="11"/>
  <c r="X124" i="11"/>
  <c r="T128" i="11"/>
  <c r="Z128" i="11"/>
  <c r="R128" i="11"/>
  <c r="X128" i="11"/>
  <c r="T132" i="11"/>
  <c r="Z132" i="11"/>
  <c r="R132" i="11"/>
  <c r="X132" i="11"/>
  <c r="T136" i="11"/>
  <c r="Z136" i="11"/>
  <c r="R136" i="11"/>
  <c r="X136" i="11"/>
  <c r="T140" i="11"/>
  <c r="Z140" i="11"/>
  <c r="R140" i="11"/>
  <c r="X140" i="11"/>
  <c r="T144" i="11"/>
  <c r="Z144" i="11"/>
  <c r="R144" i="11"/>
  <c r="X144" i="11"/>
  <c r="V148" i="11"/>
  <c r="T148" i="11"/>
  <c r="Z148" i="11"/>
  <c r="R148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119" i="11"/>
  <c r="Z119" i="11"/>
  <c r="R119" i="11"/>
  <c r="X119" i="11"/>
  <c r="T123" i="11"/>
  <c r="Z123" i="11"/>
  <c r="R123" i="11"/>
  <c r="X123" i="11"/>
  <c r="T127" i="11"/>
  <c r="Z127" i="11"/>
  <c r="R127" i="11"/>
  <c r="X127" i="11"/>
  <c r="T131" i="11"/>
  <c r="Z131" i="11"/>
  <c r="R131" i="11"/>
  <c r="X131" i="11"/>
  <c r="T135" i="11"/>
  <c r="Z135" i="11"/>
  <c r="R135" i="11"/>
  <c r="X135" i="11"/>
  <c r="T139" i="11"/>
  <c r="Z139" i="11"/>
  <c r="R139" i="11"/>
  <c r="X139" i="11"/>
  <c r="T143" i="11"/>
  <c r="Z143" i="11"/>
  <c r="R143" i="11"/>
  <c r="X143" i="11"/>
  <c r="Z117" i="11"/>
  <c r="T118" i="11"/>
  <c r="Z118" i="11"/>
  <c r="R118" i="11"/>
  <c r="X118" i="11"/>
  <c r="T122" i="11"/>
  <c r="Z122" i="11"/>
  <c r="R122" i="11"/>
  <c r="X122" i="11"/>
  <c r="T126" i="11"/>
  <c r="Z126" i="11"/>
  <c r="R126" i="11"/>
  <c r="X126" i="11"/>
  <c r="T130" i="11"/>
  <c r="Z130" i="11"/>
  <c r="R130" i="11"/>
  <c r="X130" i="11"/>
  <c r="T134" i="11"/>
  <c r="Z134" i="11"/>
  <c r="R134" i="11"/>
  <c r="X134" i="11"/>
  <c r="T138" i="11"/>
  <c r="Z138" i="11"/>
  <c r="R138" i="11"/>
  <c r="X138" i="11"/>
  <c r="T142" i="11"/>
  <c r="Z142" i="11"/>
  <c r="R142" i="11"/>
  <c r="X142" i="11"/>
  <c r="Z146" i="11"/>
  <c r="R146" i="11"/>
  <c r="X146" i="11"/>
  <c r="V146" i="11"/>
  <c r="T108" i="11"/>
  <c r="T109" i="11"/>
  <c r="T110" i="11"/>
  <c r="T111" i="11"/>
  <c r="T112" i="11"/>
  <c r="T113" i="11"/>
  <c r="T114" i="11"/>
  <c r="T115" i="11"/>
  <c r="T116" i="11"/>
  <c r="T147" i="11"/>
  <c r="T192" i="11"/>
  <c r="T193" i="11"/>
  <c r="T194" i="11"/>
  <c r="T195" i="11"/>
  <c r="T196" i="11"/>
  <c r="G196" i="11" s="1"/>
  <c r="T197" i="11"/>
  <c r="Z198" i="11"/>
  <c r="G116" i="11" l="1"/>
  <c r="G112" i="11"/>
  <c r="G24" i="11"/>
  <c r="X40" i="11"/>
  <c r="G189" i="11"/>
  <c r="G100" i="11"/>
  <c r="G88" i="11"/>
  <c r="R117" i="11"/>
  <c r="G117" i="11" s="1"/>
  <c r="V39" i="11"/>
  <c r="G148" i="6"/>
  <c r="G408" i="6" s="1"/>
  <c r="G401" i="6"/>
  <c r="G323" i="6"/>
  <c r="G67" i="6"/>
  <c r="G28" i="6"/>
  <c r="G66" i="6"/>
  <c r="G157" i="6"/>
  <c r="G129" i="6"/>
  <c r="G133" i="6"/>
  <c r="G97" i="6"/>
  <c r="G52" i="6"/>
  <c r="G31" i="6"/>
  <c r="G119" i="6"/>
  <c r="G151" i="6"/>
  <c r="G50" i="6"/>
  <c r="G406" i="6"/>
  <c r="G399" i="6"/>
  <c r="G301" i="6"/>
  <c r="G63" i="6"/>
  <c r="G349" i="6"/>
  <c r="G47" i="6"/>
  <c r="G291" i="6"/>
  <c r="G243" i="6"/>
  <c r="G111" i="6"/>
  <c r="G36" i="6"/>
  <c r="G98" i="6"/>
  <c r="G17" i="6"/>
  <c r="G166" i="6"/>
  <c r="G22" i="6"/>
  <c r="G244" i="6"/>
  <c r="G338" i="6"/>
  <c r="G303" i="6"/>
  <c r="G88" i="6"/>
  <c r="G6" i="6"/>
  <c r="G156" i="6"/>
  <c r="G405" i="6"/>
  <c r="G302" i="6"/>
  <c r="G68" i="6"/>
  <c r="G171" i="6"/>
  <c r="G65" i="6"/>
  <c r="G16" i="6"/>
  <c r="G152" i="6"/>
  <c r="G35" i="6"/>
  <c r="G165" i="6"/>
  <c r="G128" i="6"/>
  <c r="G257" i="6"/>
  <c r="G13" i="6"/>
  <c r="G255" i="6"/>
  <c r="G110" i="6"/>
  <c r="G135" i="6"/>
  <c r="G170" i="6"/>
  <c r="G20" i="6"/>
  <c r="G53" i="6"/>
  <c r="G109" i="6"/>
  <c r="G78" i="6"/>
  <c r="G159" i="6"/>
  <c r="G402" i="6"/>
  <c r="G329" i="6"/>
  <c r="G326" i="6"/>
  <c r="G212" i="6"/>
  <c r="G345" i="6"/>
  <c r="G324" i="6"/>
  <c r="G96" i="6"/>
  <c r="G83" i="6"/>
  <c r="G73" i="6"/>
  <c r="G15" i="6"/>
  <c r="G304" i="6"/>
  <c r="G347" i="6"/>
  <c r="G305" i="6"/>
  <c r="G32" i="6"/>
  <c r="G9" i="6"/>
  <c r="G49" i="6"/>
  <c r="G18" i="6"/>
  <c r="G150" i="6"/>
  <c r="G292" i="6"/>
  <c r="G158" i="6"/>
  <c r="G99" i="6"/>
  <c r="G51" i="6"/>
  <c r="G33" i="6"/>
  <c r="G34" i="6"/>
  <c r="G54" i="6"/>
  <c r="G293" i="6"/>
  <c r="G48" i="6"/>
  <c r="R62" i="6"/>
  <c r="X62" i="6"/>
  <c r="R173" i="6"/>
  <c r="V175" i="6"/>
  <c r="T174" i="6"/>
  <c r="R174" i="6"/>
  <c r="V174" i="6"/>
  <c r="V56" i="6"/>
  <c r="R29" i="6"/>
  <c r="X29" i="6"/>
  <c r="R175" i="6"/>
  <c r="X174" i="6"/>
  <c r="X56" i="6"/>
  <c r="Z175" i="6"/>
  <c r="V29" i="6"/>
  <c r="T56" i="6"/>
  <c r="T29" i="6"/>
  <c r="X173" i="6"/>
  <c r="V344" i="6"/>
  <c r="Z173" i="6"/>
  <c r="T173" i="6"/>
  <c r="T325" i="6"/>
  <c r="Z55" i="6"/>
  <c r="V172" i="6"/>
  <c r="T172" i="6"/>
  <c r="R172" i="6"/>
  <c r="X172" i="6"/>
  <c r="R56" i="6"/>
  <c r="T175" i="6"/>
  <c r="R344" i="6"/>
  <c r="V325" i="6"/>
  <c r="T55" i="6"/>
  <c r="Z344" i="6"/>
  <c r="X325" i="6"/>
  <c r="V55" i="6"/>
  <c r="X55" i="6"/>
  <c r="T344" i="6"/>
  <c r="Z325" i="6"/>
  <c r="V14" i="6"/>
  <c r="T14" i="6"/>
  <c r="Z14" i="6"/>
  <c r="R14" i="6"/>
  <c r="X14" i="6"/>
  <c r="V5" i="6"/>
  <c r="T5" i="6"/>
  <c r="Z5" i="6"/>
  <c r="R5" i="6"/>
  <c r="X5" i="6"/>
  <c r="T39" i="11"/>
  <c r="X39" i="11"/>
  <c r="G180" i="11"/>
  <c r="G167" i="11"/>
  <c r="G22" i="11"/>
  <c r="G165" i="11"/>
  <c r="G96" i="11"/>
  <c r="G87" i="11"/>
  <c r="G149" i="11"/>
  <c r="G84" i="11"/>
  <c r="G113" i="11"/>
  <c r="R39" i="11"/>
  <c r="G39" i="11" s="1"/>
  <c r="G187" i="11"/>
  <c r="G171" i="11"/>
  <c r="G185" i="11"/>
  <c r="G169" i="11"/>
  <c r="G98" i="11"/>
  <c r="G104" i="11"/>
  <c r="G154" i="11"/>
  <c r="G151" i="11"/>
  <c r="G95" i="11"/>
  <c r="G93" i="11"/>
  <c r="G90" i="11"/>
  <c r="G86" i="11"/>
  <c r="G45" i="11"/>
  <c r="G190" i="11"/>
  <c r="G102" i="11"/>
  <c r="G94" i="11"/>
  <c r="G155" i="11"/>
  <c r="G175" i="11"/>
  <c r="G194" i="11"/>
  <c r="G108" i="11"/>
  <c r="T117" i="11"/>
  <c r="Z37" i="11"/>
  <c r="X38" i="11"/>
  <c r="T40" i="11"/>
  <c r="G184" i="11"/>
  <c r="G168" i="11"/>
  <c r="G173" i="11"/>
  <c r="G157" i="11"/>
  <c r="G191" i="11"/>
  <c r="G159" i="11"/>
  <c r="G197" i="11"/>
  <c r="G111" i="11"/>
  <c r="X117" i="11"/>
  <c r="G106" i="11"/>
  <c r="V37" i="11"/>
  <c r="G37" i="11" s="1"/>
  <c r="Z40" i="11"/>
  <c r="Z199" i="11" s="1"/>
  <c r="I5" i="15" s="1"/>
  <c r="I10" i="15" s="1"/>
  <c r="G182" i="11"/>
  <c r="G166" i="11"/>
  <c r="G150" i="11"/>
  <c r="G188" i="11"/>
  <c r="G172" i="11"/>
  <c r="G156" i="11"/>
  <c r="G193" i="11"/>
  <c r="G115" i="11"/>
  <c r="G19" i="11"/>
  <c r="G145" i="11"/>
  <c r="T38" i="11"/>
  <c r="G176" i="11"/>
  <c r="G160" i="11"/>
  <c r="G183" i="11"/>
  <c r="G186" i="11"/>
  <c r="G105" i="11"/>
  <c r="G97" i="11"/>
  <c r="G192" i="11"/>
  <c r="G114" i="11"/>
  <c r="G110" i="11"/>
  <c r="G31" i="11"/>
  <c r="Z38" i="11"/>
  <c r="V38" i="11"/>
  <c r="V199" i="11" s="1"/>
  <c r="G5" i="15" s="1"/>
  <c r="G10" i="15" s="1"/>
  <c r="T198" i="11"/>
  <c r="G198" i="11" s="1"/>
  <c r="G152" i="11"/>
  <c r="G161" i="11"/>
  <c r="G23" i="11"/>
  <c r="G177" i="11"/>
  <c r="G195" i="11"/>
  <c r="G147" i="11"/>
  <c r="G109" i="11"/>
  <c r="G146" i="11"/>
  <c r="G79" i="11"/>
  <c r="G75" i="11"/>
  <c r="G71" i="11"/>
  <c r="G67" i="11"/>
  <c r="G63" i="11"/>
  <c r="G59" i="11"/>
  <c r="G53" i="11"/>
  <c r="G35" i="11"/>
  <c r="G28" i="11"/>
  <c r="G107" i="11"/>
  <c r="G52" i="11"/>
  <c r="G48" i="11"/>
  <c r="G36" i="11"/>
  <c r="G20" i="11"/>
  <c r="G18" i="11"/>
  <c r="G16" i="11"/>
  <c r="G14" i="11"/>
  <c r="G12" i="11"/>
  <c r="G125" i="11"/>
  <c r="G179" i="11"/>
  <c r="G163" i="11"/>
  <c r="G103" i="11"/>
  <c r="G101" i="11"/>
  <c r="G170" i="11"/>
  <c r="G164" i="11"/>
  <c r="G99" i="11"/>
  <c r="G91" i="11"/>
  <c r="G41" i="11"/>
  <c r="G45" i="12"/>
  <c r="G19" i="12"/>
  <c r="G134" i="12"/>
  <c r="G76" i="12"/>
  <c r="G49" i="12"/>
  <c r="G23" i="12"/>
  <c r="G77" i="12"/>
  <c r="G136" i="12"/>
  <c r="G140" i="12"/>
  <c r="G132" i="12"/>
  <c r="G56" i="12"/>
  <c r="G52" i="12"/>
  <c r="G48" i="12"/>
  <c r="G44" i="12"/>
  <c r="G24" i="12"/>
  <c r="G51" i="12"/>
  <c r="G47" i="12"/>
  <c r="G43" i="12"/>
  <c r="G61" i="12"/>
  <c r="G18" i="12"/>
  <c r="G90" i="12"/>
  <c r="G86" i="12"/>
  <c r="G82" i="12"/>
  <c r="G78" i="12"/>
  <c r="G81" i="12"/>
  <c r="G26" i="12"/>
  <c r="G22" i="12"/>
  <c r="G129" i="12"/>
  <c r="G127" i="12"/>
  <c r="G89" i="12"/>
  <c r="G85" i="12"/>
  <c r="G70" i="12"/>
  <c r="G71" i="12"/>
  <c r="G67" i="12"/>
  <c r="G72" i="12"/>
  <c r="G68" i="12"/>
  <c r="G64" i="12"/>
  <c r="G63" i="12"/>
  <c r="G21" i="12"/>
  <c r="G92" i="12"/>
  <c r="G88" i="12"/>
  <c r="G83" i="12"/>
  <c r="G91" i="12"/>
  <c r="G87" i="12"/>
  <c r="G20" i="14"/>
  <c r="G10" i="14"/>
  <c r="V45" i="14"/>
  <c r="G30" i="14"/>
  <c r="G19" i="14"/>
  <c r="G26" i="13"/>
  <c r="G22" i="13"/>
  <c r="Z48" i="13"/>
  <c r="G14" i="13"/>
  <c r="G25" i="13"/>
  <c r="G21" i="13"/>
  <c r="T48" i="13"/>
  <c r="G24" i="14"/>
  <c r="G22" i="14"/>
  <c r="T45" i="14"/>
  <c r="G29" i="14"/>
  <c r="R45" i="14"/>
  <c r="G6" i="14"/>
  <c r="G28" i="14"/>
  <c r="G26" i="14"/>
  <c r="G15" i="14"/>
  <c r="G7" i="14"/>
  <c r="G14" i="14"/>
  <c r="G23" i="14"/>
  <c r="Z45" i="14"/>
  <c r="G18" i="13"/>
  <c r="X48" i="13"/>
  <c r="G24" i="13"/>
  <c r="G11" i="13"/>
  <c r="R48" i="13"/>
  <c r="G17" i="13"/>
  <c r="G23" i="13"/>
  <c r="V48" i="13"/>
  <c r="G20" i="13"/>
  <c r="G74" i="12"/>
  <c r="G59" i="12"/>
  <c r="G60" i="12"/>
  <c r="G73" i="12"/>
  <c r="Z142" i="12"/>
  <c r="G130" i="12"/>
  <c r="G128" i="12"/>
  <c r="G69" i="12"/>
  <c r="G65" i="12"/>
  <c r="G16" i="12"/>
  <c r="G14" i="12"/>
  <c r="G12" i="12"/>
  <c r="G10" i="12"/>
  <c r="G8" i="12"/>
  <c r="G6" i="12"/>
  <c r="T142" i="12"/>
  <c r="G84" i="12"/>
  <c r="G41" i="12"/>
  <c r="G62" i="12"/>
  <c r="X142" i="12"/>
  <c r="G66" i="12"/>
  <c r="G17" i="12"/>
  <c r="G15" i="12"/>
  <c r="G13" i="12"/>
  <c r="G11" i="12"/>
  <c r="G9" i="12"/>
  <c r="G7" i="12"/>
  <c r="R142" i="12"/>
  <c r="G5" i="12"/>
  <c r="V142" i="12"/>
  <c r="G77" i="11"/>
  <c r="G73" i="11"/>
  <c r="G69" i="11"/>
  <c r="G65" i="11"/>
  <c r="G61" i="11"/>
  <c r="G57" i="11"/>
  <c r="G148" i="11"/>
  <c r="G133" i="11"/>
  <c r="G49" i="11"/>
  <c r="G26" i="11"/>
  <c r="G129" i="11"/>
  <c r="G47" i="11"/>
  <c r="G29" i="11"/>
  <c r="G55" i="11"/>
  <c r="G51" i="11"/>
  <c r="G46" i="11"/>
  <c r="G25" i="11"/>
  <c r="G78" i="11"/>
  <c r="G76" i="11"/>
  <c r="G74" i="11"/>
  <c r="G72" i="11"/>
  <c r="G70" i="11"/>
  <c r="G68" i="11"/>
  <c r="G66" i="11"/>
  <c r="G64" i="11"/>
  <c r="G62" i="11"/>
  <c r="G60" i="11"/>
  <c r="G58" i="11"/>
  <c r="G56" i="11"/>
  <c r="G54" i="11"/>
  <c r="G137" i="11"/>
  <c r="G21" i="11"/>
  <c r="G17" i="11"/>
  <c r="G15" i="11"/>
  <c r="G13" i="11"/>
  <c r="R199" i="11"/>
  <c r="E5" i="15" s="1"/>
  <c r="E10" i="15" s="1"/>
  <c r="G11" i="11"/>
  <c r="G27" i="11"/>
  <c r="G50" i="11"/>
  <c r="G142" i="11"/>
  <c r="G138" i="11"/>
  <c r="G134" i="11"/>
  <c r="G130" i="11"/>
  <c r="G126" i="11"/>
  <c r="G122" i="11"/>
  <c r="G118" i="11"/>
  <c r="G143" i="11"/>
  <c r="G139" i="11"/>
  <c r="G135" i="11"/>
  <c r="G131" i="11"/>
  <c r="G127" i="11"/>
  <c r="G123" i="11"/>
  <c r="G119" i="11"/>
  <c r="G144" i="11"/>
  <c r="G140" i="11"/>
  <c r="G136" i="11"/>
  <c r="G132" i="11"/>
  <c r="G128" i="11"/>
  <c r="G124" i="11"/>
  <c r="G120" i="11"/>
  <c r="G121" i="11"/>
  <c r="G34" i="11"/>
  <c r="G32" i="11"/>
  <c r="G30" i="11"/>
  <c r="G33" i="11"/>
  <c r="G141" i="11"/>
  <c r="X199" i="11" l="1"/>
  <c r="H5" i="15" s="1"/>
  <c r="H10" i="15" s="1"/>
  <c r="G5" i="6"/>
  <c r="G55" i="6"/>
  <c r="G175" i="6"/>
  <c r="G173" i="6"/>
  <c r="G325" i="6"/>
  <c r="G14" i="6"/>
  <c r="G172" i="6"/>
  <c r="G29" i="6"/>
  <c r="G62" i="6"/>
  <c r="G344" i="6"/>
  <c r="G174" i="6"/>
  <c r="G56" i="6"/>
  <c r="G40" i="11"/>
  <c r="G38" i="11"/>
  <c r="T199" i="11"/>
  <c r="F5" i="15" s="1"/>
  <c r="F10" i="15" s="1"/>
  <c r="G48" i="13"/>
  <c r="G45" i="14"/>
  <c r="G142" i="12"/>
  <c r="G199" i="11"/>
  <c r="D5" i="15" s="1"/>
  <c r="D10" i="15" s="1"/>
</calcChain>
</file>

<file path=xl/comments1.xml><?xml version="1.0" encoding="utf-8"?>
<comments xmlns="http://schemas.openxmlformats.org/spreadsheetml/2006/main">
  <authors>
    <author>Benta de Fátima Furtado</author>
  </authors>
  <commentList>
    <comment ref="J126" authorId="0">
      <text>
        <r>
          <rPr>
            <b/>
            <sz val="9"/>
            <color indexed="81"/>
            <rFont val="Tahoma"/>
            <charset val="1"/>
          </rPr>
          <t>Benta de Fátima Furtado:</t>
        </r>
        <r>
          <rPr>
            <sz val="9"/>
            <color indexed="81"/>
            <rFont val="Tahoma"/>
            <charset val="1"/>
          </rPr>
          <t xml:space="preserve">
sitelojaeletrica.com.br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Benta de Fátima Furtado:</t>
        </r>
        <r>
          <rPr>
            <sz val="9"/>
            <color indexed="81"/>
            <rFont val="Tahoma"/>
            <charset val="1"/>
          </rPr>
          <t xml:space="preserve">
sitelojaeletrica.com.br</t>
        </r>
      </text>
    </comment>
  </commentList>
</comments>
</file>

<file path=xl/comments2.xml><?xml version="1.0" encoding="utf-8"?>
<comments xmlns="http://schemas.openxmlformats.org/spreadsheetml/2006/main">
  <authors>
    <author>Benta de Fátima Furtado</author>
  </authors>
  <commentList>
    <comment ref="J151" authorId="0">
      <text>
        <r>
          <rPr>
            <b/>
            <sz val="9"/>
            <color indexed="81"/>
            <rFont val="Tahoma"/>
            <family val="2"/>
          </rPr>
          <t>Benta de Fátima Furtado:</t>
        </r>
        <r>
          <rPr>
            <sz val="9"/>
            <color indexed="81"/>
            <rFont val="Tahoma"/>
            <family val="2"/>
          </rPr>
          <t xml:space="preserve">
preço site cikala.com.br, com frete</t>
        </r>
      </text>
    </comment>
    <comment ref="M339" authorId="0">
      <text>
        <r>
          <rPr>
            <b/>
            <sz val="9"/>
            <color indexed="81"/>
            <rFont val="Tahoma"/>
            <family val="2"/>
          </rPr>
          <t>Benta de Fátima Furtado:</t>
        </r>
        <r>
          <rPr>
            <sz val="9"/>
            <color indexed="81"/>
            <rFont val="Tahoma"/>
            <family val="2"/>
          </rPr>
          <t xml:space="preserve">
site ccpvirtual.co.br
</t>
        </r>
      </text>
    </comment>
  </commentList>
</comments>
</file>

<file path=xl/sharedStrings.xml><?xml version="1.0" encoding="utf-8"?>
<sst xmlns="http://schemas.openxmlformats.org/spreadsheetml/2006/main" count="3770" uniqueCount="1845">
  <si>
    <t>Item</t>
  </si>
  <si>
    <t>Uni</t>
  </si>
  <si>
    <t>QTDE</t>
  </si>
  <si>
    <t>Bisnaga de corante universal</t>
  </si>
  <si>
    <t>Cabo de rolo 15cm</t>
  </si>
  <si>
    <t>Cabo de rolo 23cm</t>
  </si>
  <si>
    <t>Escova de aço quatro filetes</t>
  </si>
  <si>
    <t>Extensor 3 metros</t>
  </si>
  <si>
    <t>Extensor 5 metros</t>
  </si>
  <si>
    <t>Fita crepe 50 mts por 3,6mm</t>
  </si>
  <si>
    <t>Fundo acrílico econômica 18 litros 1ª linha</t>
  </si>
  <si>
    <t>Fundo óleo 1º linha 3,6L</t>
  </si>
  <si>
    <t>Lixa 60mm</t>
  </si>
  <si>
    <t>Lixa média latex</t>
  </si>
  <si>
    <t xml:space="preserve">Massa corrida PVA 18 litros </t>
  </si>
  <si>
    <t>Pincel nº 02</t>
  </si>
  <si>
    <t>Pincel nº 03</t>
  </si>
  <si>
    <t>Pincel nº 05</t>
  </si>
  <si>
    <t>Rolo de lã 23cm pintura de parede</t>
  </si>
  <si>
    <t>Rolo de lã anti gota 08cm</t>
  </si>
  <si>
    <t>Rolo de lã anti gota 15cm</t>
  </si>
  <si>
    <t>Rolo de lã anti gota 23cm</t>
  </si>
  <si>
    <t>Solvente para tinta galão 5litros</t>
  </si>
  <si>
    <t>Bloco de emergência LED 1200 lúmens - 02 faróis</t>
  </si>
  <si>
    <t>metro</t>
  </si>
  <si>
    <t>Canaleta de PVC p/ fio padrão</t>
  </si>
  <si>
    <t>Conector tipo III c/ capa</t>
  </si>
  <si>
    <t>Disjuntor 15A monofasico</t>
  </si>
  <si>
    <t>Disjuntor 25A monofasico</t>
  </si>
  <si>
    <t>Disjuntor 30A monofasico</t>
  </si>
  <si>
    <t>Disjuntor DIN 25A monofasico</t>
  </si>
  <si>
    <t>Disjuntor NEMA 50A padrão tripolar</t>
  </si>
  <si>
    <t>Fita isolante preta 10 metros</t>
  </si>
  <si>
    <t>Grampo fixa fio duplo mínimo 15 unidades por embalagem, tipo Miguelão</t>
  </si>
  <si>
    <t>Isolador PVC</t>
  </si>
  <si>
    <t>Kit compacto 85w 220 flc</t>
  </si>
  <si>
    <t>Lâmpada de Led 15w 6500k</t>
  </si>
  <si>
    <t>Lâmpada de Led 30w 6500k</t>
  </si>
  <si>
    <t>Lâmpada de Led 9w 6500k</t>
  </si>
  <si>
    <t>Lâmpada fluorescente compacta econômica, 45W, 220V</t>
  </si>
  <si>
    <t>Lâmpada LED Tubular 20,5 w 6500k</t>
  </si>
  <si>
    <t>Lâmpada PL espiral 32w 6400k</t>
  </si>
  <si>
    <t>Lâmpada tubular de Led 120cm 20w 6500k</t>
  </si>
  <si>
    <t>Lâmpada tubular de Led 60 cm 10w 6500k</t>
  </si>
  <si>
    <t>Luminária de emergência LED 50 lúmens</t>
  </si>
  <si>
    <t>Parafuso com rosca soberba 3,5 x 60mm</t>
  </si>
  <si>
    <t>Parafuso com rosca soberba 4,5 x 80mm</t>
  </si>
  <si>
    <t>Parafuso máquina 16 x 300mm</t>
  </si>
  <si>
    <t>Placa de Saída de Emergência autônoma LED -fundo branco e texto em vermelho, autonomia minima de 01 hora</t>
  </si>
  <si>
    <t>Plafon com soquete de porcelana</t>
  </si>
  <si>
    <t>Plug fêmea 20A</t>
  </si>
  <si>
    <t>Plug macho 20A</t>
  </si>
  <si>
    <t>Plug macho 2P 10A preto</t>
  </si>
  <si>
    <t>Refletor 400 bocal E40</t>
  </si>
  <si>
    <t>Régua- extensão minimo com tomada quadrupla 10A</t>
  </si>
  <si>
    <t>Rele fotoeletrico</t>
  </si>
  <si>
    <t>Terminal TA 0,50mm</t>
  </si>
  <si>
    <t>LOTE 01 MATERIAL ELÉTRICO SECRETARIAS</t>
  </si>
  <si>
    <t>Abraçadeira nylon 20cm embalagem com 100 unidades</t>
  </si>
  <si>
    <t>Abraçadeira nylon branco 30cm x 7,6mm embalagem com 100 unidades</t>
  </si>
  <si>
    <t>Adesivo de contato para revestir pisos de borracha 3,6l</t>
  </si>
  <si>
    <t>Lata</t>
  </si>
  <si>
    <t>Arame farpado para cerca rolo de 500 mts</t>
  </si>
  <si>
    <t>Arame liso galvanizado 2.1mm com 500mts</t>
  </si>
  <si>
    <t>Arame recozido 1.8mm 1kg</t>
  </si>
  <si>
    <t>Areia fina</t>
  </si>
  <si>
    <t>M³</t>
  </si>
  <si>
    <t>Areia grossa</t>
  </si>
  <si>
    <t>Areia média</t>
  </si>
  <si>
    <t>Argamassa saca 20kg AC1</t>
  </si>
  <si>
    <t>Azulejo classe A 45x45 bege</t>
  </si>
  <si>
    <t>Barra ferro de aço ca-50-3/4mm</t>
  </si>
  <si>
    <t>Barra ferro de aço ca-50-5/16mm</t>
  </si>
  <si>
    <t>Barra ferro de aço ca-60-4/2mm</t>
  </si>
  <si>
    <t>Bloco de concreto 14x19x39cm 1ª linha</t>
  </si>
  <si>
    <t>Bloco de concreto 34x19 por 12 altura</t>
  </si>
  <si>
    <t>Bucha 0,6mm s/anel</t>
  </si>
  <si>
    <t>Bucha 10mm s/anel</t>
  </si>
  <si>
    <t xml:space="preserve">Bucha plástica 0,8mm </t>
  </si>
  <si>
    <t>Cadeado 30mm</t>
  </si>
  <si>
    <t>Cal hidratada saca 20 kg</t>
  </si>
  <si>
    <t>Cal para pintura saca com 8kg</t>
  </si>
  <si>
    <t>Chapa de aço galvanizado com 50cm nº 24</t>
  </si>
  <si>
    <t>Metro</t>
  </si>
  <si>
    <t>Corda de algodão 8mm</t>
  </si>
  <si>
    <t>Cumeeira normal 1,10m 15º</t>
  </si>
  <si>
    <t>Furadeira profissional 220V  1/2 polegadas,  potência mínima de 650W  com maleta</t>
  </si>
  <si>
    <t>Grampo para cerca e tela 1x9</t>
  </si>
  <si>
    <t>Kg</t>
  </si>
  <si>
    <t>Jogo de Chaves de Fenda e Phillips com 7 Peças</t>
  </si>
  <si>
    <t>Lona para toldo</t>
  </si>
  <si>
    <t>Luva de segurança com revestimento da face palmar, face palmar dos dedos e ponta dos dedos em borracha vulcanizada; punho com  elástico, tamanho M e G.</t>
  </si>
  <si>
    <t>Par</t>
  </si>
  <si>
    <t>Massa pronta para assentamento 20kg</t>
  </si>
  <si>
    <t>Palanque de concreto 10x10cm x 2,5 altura</t>
  </si>
  <si>
    <t>Parafuso 3,5 x 30mm</t>
  </si>
  <si>
    <t>Parafuso 3,5 x 40mm</t>
  </si>
  <si>
    <t>Parafuso cabeça chata 3,0 x 12mm</t>
  </si>
  <si>
    <t>Parafuso cabeça chata 3,0 x 25mm</t>
  </si>
  <si>
    <t>Parafuso cabeça chata 4,0 x 40mm</t>
  </si>
  <si>
    <t>Parafuso com rosca 5/8 x 20''</t>
  </si>
  <si>
    <t>Parafuso para eternite 5mm</t>
  </si>
  <si>
    <t>Pedra brita nº 01</t>
  </si>
  <si>
    <t>Pedra brita nº 02</t>
  </si>
  <si>
    <t>Picareta larga com cabo</t>
  </si>
  <si>
    <t>M²</t>
  </si>
  <si>
    <t>Prego com cabeça 12 x 12 para madeira</t>
  </si>
  <si>
    <t>Prego com cabeça 17 x 27 para madeira</t>
  </si>
  <si>
    <t>Prego com cabeça 18 x 30 para madeira</t>
  </si>
  <si>
    <t>Prego com cabeça 19 x 36 para madeira</t>
  </si>
  <si>
    <t>Rebitador manual tipo alicate</t>
  </si>
  <si>
    <t>Rebite 6mm</t>
  </si>
  <si>
    <t>Rebite 8mm</t>
  </si>
  <si>
    <t>Rejunte bege 1kg</t>
  </si>
  <si>
    <t>Roda carrinho de mão completo aro, câmara e pneu.</t>
  </si>
  <si>
    <t>Serra aço rápido para cortar ferro 24 dentes</t>
  </si>
  <si>
    <t>Solda estanho 1,5mm 50x50 500gr</t>
  </si>
  <si>
    <t>Tela alambrado 1,5x25mt 2,50mm</t>
  </si>
  <si>
    <t>Tela alambrado 2,0x25mt 2,50mm</t>
  </si>
  <si>
    <t>Tela arame malha grossa 2 mt</t>
  </si>
  <si>
    <t>Tela arame malha grossa de 16 a 18 com  2 metros de altura 6,8</t>
  </si>
  <si>
    <t>Tela arame malha grossa de 16 a 18 com 2,20 metros de altura</t>
  </si>
  <si>
    <t>Telha de fibrocimento (5mm de 2,44 x 1,10m)</t>
  </si>
  <si>
    <t>Telha de fibrocimento (tipo eternit) de 6mm 1,80 x 1,05</t>
  </si>
  <si>
    <t>Telha translúcida de PVC ou fibra 1,10 x 2,44 5mm</t>
  </si>
  <si>
    <t>Telhão 5mm de 25º</t>
  </si>
  <si>
    <t>Tijolo 9 furos inteiros 11,5 x 14,0  x 24,0 1ª linha</t>
  </si>
  <si>
    <t>Tijolo de 6 furos (14x19 por 09 altura)</t>
  </si>
  <si>
    <t>Vassourão 40cm com cabo</t>
  </si>
  <si>
    <t>Veda Reboco 5Lt</t>
  </si>
  <si>
    <t>Abraçadeira de metal 3/4</t>
  </si>
  <si>
    <t>Aplicador para tubo de silicone reforçado</t>
  </si>
  <si>
    <t>Assoalho madeira eucalipto tratado m²</t>
  </si>
  <si>
    <t>Broca de alvenaria nº 04</t>
  </si>
  <si>
    <t>Broca de alvenaria nº 06</t>
  </si>
  <si>
    <t>Broca de alvenaria nº 08</t>
  </si>
  <si>
    <t>Broca de alvenaria nº 10</t>
  </si>
  <si>
    <t>Broca de madeira nº 04</t>
  </si>
  <si>
    <t>Broca de madeira nº 06</t>
  </si>
  <si>
    <t>Broca de madeira nº 08</t>
  </si>
  <si>
    <t>Broca de madeira nº 10</t>
  </si>
  <si>
    <t>Cola de madeira granulada 1 kg</t>
  </si>
  <si>
    <t>Dobradiça 35mm (caneco)</t>
  </si>
  <si>
    <t>Dobradiça 3mm</t>
  </si>
  <si>
    <t>Dobradiça 4 polegadas</t>
  </si>
  <si>
    <t>Dobradiça 45mm larga</t>
  </si>
  <si>
    <t>Fechadura externa metal resistente</t>
  </si>
  <si>
    <t>Fechadura interna metal resistente</t>
  </si>
  <si>
    <t>Fechadura para porta de banheiro metal</t>
  </si>
  <si>
    <t>Frontal madeira eucalipto tratado m²</t>
  </si>
  <si>
    <t>Lâmina de borda 22mm</t>
  </si>
  <si>
    <t>Lâmina de borda 40mm</t>
  </si>
  <si>
    <t xml:space="preserve">Lima chata com cabo 8 polegadas </t>
  </si>
  <si>
    <t>Madeira para caixaria 20cmx3m m³</t>
  </si>
  <si>
    <t>Marco para porta 210x 85cm</t>
  </si>
  <si>
    <t>uni</t>
  </si>
  <si>
    <t>Martelo unha com cabo de madeira 23mm</t>
  </si>
  <si>
    <t>Meia cana forro de PVC</t>
  </si>
  <si>
    <t>Óleo de proteção desengripante spray  frasco 300ml</t>
  </si>
  <si>
    <t>Óleo lubrificante multiuso 100ml</t>
  </si>
  <si>
    <t>Palanque eucalipto p/ escora 2,20m x 10mm espessura</t>
  </si>
  <si>
    <t>Palanque eucalipto p/ escora 3,5m x 12mm espessura</t>
  </si>
  <si>
    <t>Peças eucalipto tratado beneficiado de 15x08cm x 5,50 mts</t>
  </si>
  <si>
    <t>Peças eucalipto tratado beneficiado de 15x10cm x 4,20 mts</t>
  </si>
  <si>
    <t>Peças eucalipto tratado beneficiado de 2x3 pol. x 4,50mts</t>
  </si>
  <si>
    <t>Porta interna laminada 210x 70cm</t>
  </si>
  <si>
    <t>Porta interna laminada 210x 80cm</t>
  </si>
  <si>
    <t>Porta Sanfonada PVC 210x70m</t>
  </si>
  <si>
    <t>Puxador de gaveta e armário metalizado 16cm</t>
  </si>
  <si>
    <t>Tábua pinus '1' polegada x 20cm x 2,70 ou 3,00 mts</t>
  </si>
  <si>
    <t>Tábua pinus '1' polegada x 25cm x 2,70 ou 3,00 mts</t>
  </si>
  <si>
    <t>Tábua pinus '1' polegada x 30cm x 2,70 ou 3,00 mts</t>
  </si>
  <si>
    <t>Tábua pinus '1' polegada x 7,5cm x 2,70 ou 3,00 mts</t>
  </si>
  <si>
    <t>Média R$ 2019</t>
  </si>
  <si>
    <t>pc</t>
  </si>
  <si>
    <t>SINAPI</t>
  </si>
  <si>
    <t>Cimento Portland CP II saca 50 kg</t>
  </si>
  <si>
    <t>Forro PVC 8mm, regua de 10 cm, 6 metros</t>
  </si>
  <si>
    <t>Piso classe A 45x45 Maior ou igual a 4</t>
  </si>
  <si>
    <t>Chapa branca MDF 2,75 x 1,85 x 15mm 2 faces</t>
  </si>
  <si>
    <t>Metro3</t>
  </si>
  <si>
    <t>Peças de eucalipto tratado beneficiado de 1x6 pol. x 5, mts</t>
  </si>
  <si>
    <t>LEROY MERLIN</t>
  </si>
  <si>
    <t>refletor led 100 W</t>
  </si>
  <si>
    <t>refletor led50 W</t>
  </si>
  <si>
    <t>ramal mutiplexado trifásico</t>
  </si>
  <si>
    <t>lâmpada led 40 W 6500 l luz branca</t>
  </si>
  <si>
    <t>Unid</t>
  </si>
  <si>
    <t>Arame galvanizado tipoZ-700 250 mts</t>
  </si>
  <si>
    <t>Argamassa saca 20kg AC3</t>
  </si>
  <si>
    <t>Prego com cabeça 17 x 24 para madeira</t>
  </si>
  <si>
    <t>Caixa de luz 4x4 octogonal  fundo móvel</t>
  </si>
  <si>
    <t>Kit postinho monofásico, padrão de entrada homologado pela CELESC, composto com poste, fiação, caixa para abrigar medidores, disjuntores, dispositivo protetor de surtos (DPS), haste de aterramento e conectores, além de peças menores. O fornecedor deverá entregar o kit no local solicitado pela Prefeitura.</t>
  </si>
  <si>
    <t>balaroti.com.br</t>
  </si>
  <si>
    <t>Pino multiplicador 3 saídas tipo T 2P+T 10A</t>
  </si>
  <si>
    <t>Telha de fibrocimento (tipo eternit) de 6mm 1,10 x 2,44 mts</t>
  </si>
  <si>
    <t>MOMO MAT CONSTR</t>
  </si>
  <si>
    <t>Cabo flexível 750 v 10mm azul</t>
  </si>
  <si>
    <t>Cabo flexível 750 v 10mm branco</t>
  </si>
  <si>
    <t>Cabo flexível 750 v 10mm preto</t>
  </si>
  <si>
    <t>Cabo flexível 750 v 2,5mm azul</t>
  </si>
  <si>
    <t>Cabo flexível 750 v 2,5mm preto</t>
  </si>
  <si>
    <t>Cabo flexível 750 v 4mm azul</t>
  </si>
  <si>
    <t>Cabo flexível 750 v 4mm vermelho</t>
  </si>
  <si>
    <t>Cabo flexível 750 v 6,0mm azul</t>
  </si>
  <si>
    <t>rebite 4mm</t>
  </si>
  <si>
    <t>ramal multiplexado monofásico</t>
  </si>
  <si>
    <t>Lâmpada espiral Bocal E 40 105 W 220V</t>
  </si>
  <si>
    <t>Eletroluz e outros sites</t>
  </si>
  <si>
    <t>telhanorte</t>
  </si>
  <si>
    <t>18.89</t>
  </si>
  <si>
    <t>Canaleta 50x20 - 2m</t>
  </si>
  <si>
    <t>Canaleta auto adesiva 20x12 2 m</t>
  </si>
  <si>
    <t>conector perfurante  50x120 (tipo piercing)</t>
  </si>
  <si>
    <t>Fita asfáltica 20cm x 10m</t>
  </si>
  <si>
    <t>Preço Unitário</t>
  </si>
  <si>
    <t>sta Branca</t>
  </si>
  <si>
    <t>total item</t>
  </si>
  <si>
    <t>Valor total do lote</t>
  </si>
  <si>
    <t>m</t>
  </si>
  <si>
    <t xml:space="preserve">                                     Valor Total            R$</t>
  </si>
  <si>
    <t>Hum milhão e quatrocentos e vinte e dois mil e duzentos e vinte e quatro reais e quatorze centavos</t>
  </si>
  <si>
    <t xml:space="preserve">  (Duzentos e seis  mil e trezentos e cinco reais e vinte e seis  centavos)</t>
  </si>
  <si>
    <t xml:space="preserve">                     TOTAL DE  ITENS</t>
  </si>
  <si>
    <t>Descrição</t>
  </si>
  <si>
    <t>Un.</t>
  </si>
  <si>
    <t>Origem Valor</t>
  </si>
  <si>
    <t>Preço Unit.</t>
  </si>
  <si>
    <t xml:space="preserve">ABRACADEIRA DE LATAO PARA FIXACAO DE CABO PARA-RAIO, DIMENSOES 32 X 24 X 24 MM  </t>
  </si>
  <si>
    <t>UN</t>
  </si>
  <si>
    <t xml:space="preserve">ABRACADEIRA DE NYLON PARA AMARRACAO DE CABOS, COMPRIMENTO DE *230* X *7,6* MM  </t>
  </si>
  <si>
    <t xml:space="preserve">ABRACADEIRA DE NYLON PARA AMARRACAO DE CABOS, COMPRIMENTO DE 100 X 2,5 MM  </t>
  </si>
  <si>
    <t xml:space="preserve">ABRACADEIRA DE NYLON PARA AMARRACAO DE CABOS, COMPRIMENTO DE 150 X *3,6* MM  </t>
  </si>
  <si>
    <t xml:space="preserve">ABRACADEIRA DE NYLON PARA AMARRACAO DE CABOS, COMPRIMENTO DE 200 X *4,6* MM  </t>
  </si>
  <si>
    <t xml:space="preserve">ABRACADEIRA DE NYLON PARA AMARRACAO DE CABOS, COMPRIMENTO DE 390 X *4,6* MM  </t>
  </si>
  <si>
    <t>ALCA PREFORMADA DE DISTRIBUICAO, EM ACO GALVANIZADO, PARA CABO DE ALUMINIO DIAMETRO 16 A 25 MM</t>
  </si>
  <si>
    <t>KG</t>
  </si>
  <si>
    <t>M</t>
  </si>
  <si>
    <t>CABO DE COBRE UNIPOLAR 10 MM2, BLINDADO, ISOLACAO 3,6/6 KV EPR, COBERTURA EM PVC</t>
  </si>
  <si>
    <t>CABO DE COBRE UNIPOLAR 16 MM2, BLINDADO, ISOLACAO 3,6/6 KV EPR, COBERTURA EM PVC</t>
  </si>
  <si>
    <t>CABO DE COBRE UNIPOLAR 16 MM2, BLINDADO, ISOLACAO 6/10 KV EPR, COBERTURA EM PVC</t>
  </si>
  <si>
    <t>CABO DE COBRE, FLEXIVEL, CLASSE 4 OU 5, ISOLACAO EM PVC/A, ANTICHAMA BWF-B, COBERTURA PVC-ST1, ANTICHAMA BWF-B, 1 CONDUTOR, 0,6/1 KV, SECAO NOMINAL 1,5 MM2</t>
  </si>
  <si>
    <t>CABO DE COBRE, FLEXIVEL, CLASSE 4 OU 5, ISOLACAO EM PVC/A, ANTICHAMA BWF-B, COBERTURA PVC-ST1, ANTICHAMA BWF-B, 1 CONDUTOR, 0,6/1 KV, SECAO NOMINAL 2,5 MM2</t>
  </si>
  <si>
    <t>CABO DE COBRE, FLEXIVEL, CLASSE 4 OU 5, ISOLACAO EM PVC/A, ANTICHAMA BWF-B, COBERTURA PVC-ST1, ANTICHAMA BWF-B, 1 CONDUTOR, 0,6/1 KV, SECAO NOMINAL 4 MM2</t>
  </si>
  <si>
    <t>CABO DE COBRE, FLEXIVEL, CLASSE 4 OU 5, ISOLACAO EM PVC/A, ANTICHAMA BWF-B, COBERTURA PVC-ST1, ANTICHAMA BWF-B, 1 CONDUTOR, 0,6/1 KV, SECAO NOMINAL 6 MM2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</si>
  <si>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</si>
  <si>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4 MM2</t>
  </si>
  <si>
    <t>CABO DE COBRE, FLEXIVEL, CLASSE 4 OU 5, ISOLACAO EM PVC/A, ANTICHAMA BWF-B, 1 CONDUTOR, 450/750 V, SECAO NOMINAL 6 MM2</t>
  </si>
  <si>
    <t>CABO DE COBRE, RIGIDO, CLASSE 2, ISOLACAO EM PVC/A, ANTICHAMA BWF-B, 1 CONDUTOR, 450/750 V, SECAO NOMINAL 1,5 MM2</t>
  </si>
  <si>
    <t>CABO DE COBRE, RIGIDO, CLASSE 2, ISOLACAO EM PVC/A, ANTICHAMA BWF-B, 1 CONDUTOR, 450/750 V, SECAO NOMINAL 2,5 MM2</t>
  </si>
  <si>
    <t>CABO DE COBRE, RIGIDO, CLASSE 2, ISOLACAO EM PVC/A, ANTICHAMA BWF-B, 1 CONDUTOR, 450/750 V, SECAO NOMINAL 10 MM2</t>
  </si>
  <si>
    <t xml:space="preserve">CABO FLEXIVEL PVC 750 V, 2 CONDUTORES DE 10,0 MM2  </t>
  </si>
  <si>
    <t xml:space="preserve">CABO FLEXIVEL PVC 750 V, 2 CONDUTORES DE 4,0 MM2  </t>
  </si>
  <si>
    <t xml:space="preserve">CABO FLEXIVEL PVC 750 V, 2 CONDUTORES DE 6,0 MM2  </t>
  </si>
  <si>
    <t xml:space="preserve">CABO FLEXIVEL PVC 750 V, 3 CONDUTORES DE 1,5 MM2  </t>
  </si>
  <si>
    <t xml:space="preserve">CABO FLEXIVEL PVC 750 V, 3 CONDUTORES DE 10,0 MM2  </t>
  </si>
  <si>
    <t xml:space="preserve">CABO FLEXIVEL PVC 750 V, 3 CONDUTORES DE 4,0 MM2  </t>
  </si>
  <si>
    <t xml:space="preserve">CABO FLEXIVEL PVC 750 V, 3 CONDUTORES DE 6,0 MM2  </t>
  </si>
  <si>
    <t>CABO MULTIPOLAR DE COBRE, FLEXIVEL, CLASSE 4 OU 5, ISOLACAO EM HEPR, COBERTURA EM PVC-ST2, ANTICHAMA BWF-B, 0,6/1 KV, 3 CONDUTORES DE 2,5 MM2</t>
  </si>
  <si>
    <t>CABO MULTIPOLAR DE COBRE, FLEXIVEL, CLASSE 4 OU 5, ISOLACAO EM HEPR, COBERTURA EM PVC-ST2, ANTICHAMA BWF-B, 0,6/1 KV, 3 CONDUTORES DE 4 MM2</t>
  </si>
  <si>
    <t>CABO MULTIPOLAR DE COBRE, FLEXIVEL, CLASSE 4 OU 5, ISOLACAO EM HEPR, COBERTURA EM PVC-ST2, ANTICHAMA BWF-B, 0,6/1 KV, 3 CONDUTORES DE 6 MM2</t>
  </si>
  <si>
    <t>CONECTOR DE ALUMINIO TIPO PRENSA CABO, BITOLA 3/8", PARA CABOS DE DIAMETRO DE 9 A 10 MM</t>
  </si>
  <si>
    <t xml:space="preserve">CONECTOR METALICO TIPO PARAFUSO FENDIDO (SPLIT BOLT), PARA CABOS ATE 10 MM2  </t>
  </si>
  <si>
    <t xml:space="preserve">CONECTOR METALICO TIPO PARAFUSO FENDIDO (SPLIT BOLT), PARA CABOS ATE 16 MM2  </t>
  </si>
  <si>
    <t xml:space="preserve">CONECTOR METALICO TIPO PARAFUSO FENDIDO (SPLIT BOLT), PARA CABOS ATE 6 MM2  </t>
  </si>
  <si>
    <t>DESEMPENADEIRA DE ACO DENTADA 12 X *25* CM, DENTES 8 X 8 MM, CABO FECHADO DE MADEIRA</t>
  </si>
  <si>
    <t>TERMINAL A COMPRESSAO EM COBRE ESTANHADO PARA CABO 4 MM2, 1 FURO E 1 COMPRESSAO, PARA PARAFUSO DE FIXACAO M5</t>
  </si>
  <si>
    <t>TERMINAL A COMPRESSAO EM COBRE ESTANHADO PARA CABO 6 MM2, 1 FURO E 1 COMPRESSAO, PARA PARAFUSO DE FIXACAO M6</t>
  </si>
  <si>
    <t>TERMINAL METALICO A PRESSAO 1 CABO, PARA CABOS DE 4 A 10 MM2, COM 2 FUROS PARA FIXACAO</t>
  </si>
  <si>
    <t>QUADRO DE DISTRIBUICAO SEM BARRAMENTO, COM PORTA, DE EMBUTIR, EM CHAPA DE ACO GALVANIZADO, PARA 3 DISJUNTORES NEMA</t>
  </si>
  <si>
    <t>QUADRO DE DISTRIBUICAO SEM BARRAMENTO, COM PORTA, DE EMBUTIR, EM CHAPA DE ACO GALVANIZADO, PARA 6 DISJUNTORES NEMA</t>
  </si>
  <si>
    <t>CAIXA MODULAR PARA MEDIDOR DE ENERGIA AGRUPADA, EM POLICARBONATO /  TERMOPLASTICO, COM SUPORTE PARA DISJUNTOR (PADRAO DA CONCESSIONARIA LOCAL)</t>
  </si>
  <si>
    <t xml:space="preserve">UN    </t>
  </si>
  <si>
    <t>CAIXA PARA MEDIDOR MONOFASICO, EM POLICARBONATO (TERMOPLASTICO), COM DISJUNTOR</t>
  </si>
  <si>
    <t>CAIXA PARA MEDIDOR POLIFASICO, EM POLICARBONATO (TERMOPLASTICO), COM DISJUNTOR</t>
  </si>
  <si>
    <t>CENTRO DE MEDICAO AGRUPADA, EM POLICARBONATO / PVC, COM 12 MEDIDORES E PROTECAO GERAL (INCLUI BARRAMENTO, DISJUNTORES E ACESSORIOS DE FIXACAO) (PADRAO CONCESSIONARIA LOCAL)</t>
  </si>
  <si>
    <t xml:space="preserve">DISJUNTOR TIPO DIN / IEC, MONOPOLAR DE 40  ATE 50A  </t>
  </si>
  <si>
    <t xml:space="preserve">DISJUNTOR TIPO DIN/IEC, BIPOLAR DE 6 ATE 32A  </t>
  </si>
  <si>
    <t xml:space="preserve">DISJUNTOR TIPO DIN/IEC, BIPOLAR 40 ATE 50A  </t>
  </si>
  <si>
    <t xml:space="preserve">DISJUNTOR TIPO DIN/IEC, MONOPOLAR DE 6  ATE  32A  </t>
  </si>
  <si>
    <t xml:space="preserve">DISJUNTOR TIPO DIN/IEC, TRIPOLAR DE 10 ATE 50A  </t>
  </si>
  <si>
    <t xml:space="preserve">DISJUNTOR TIPO NEMA, MONOPOLAR 10 ATE 30A, TENSAO MAXIMA DE 240 V  </t>
  </si>
  <si>
    <t xml:space="preserve">DISJUNTOR TIPO NEMA, MONOPOLAR 35  ATE  50 A, TENSAO MAXIMA DE 240 V  </t>
  </si>
  <si>
    <t>KIT DE PROTECAO ARSTOP PARA AR CONDICIONADO, TOMADA PADRAO 2P+T 20 A, COM DISJUNTOR UNIPOLAR DIN 20A</t>
  </si>
  <si>
    <t>QUADRO DE DISTRIBUICAO, COM BARRAMENTO TERRA / NEUTRO, DE EMBUTIR, PARA 16 DISJUNTORES DIN</t>
  </si>
  <si>
    <t>QUADRO DE DISTRIBUICAO, COM BARRAMENTO TERRA / NEUTRO, DE EMBUTIR, PARA 8 DISJUNTORES DIN</t>
  </si>
  <si>
    <t>QUADRO DE DISTRIBUICAO, SEM BARRAMENTO, EM PVC, DE EMBUTIR, PARA 4 DISJUNTORES DIN</t>
  </si>
  <si>
    <t>QUADRO DE DISTRIBUICAO, SEM BARRAMENTO, EM PVC, DE EMBUTIR, PARA 8 DISJUNTORES DIN</t>
  </si>
  <si>
    <t>QUADRO DE DISTRIBUICAO, SEM BARRAMENTO, EM PVC, DE SOBREPOR, PARA 4 DISJUNTORES DIN</t>
  </si>
  <si>
    <t>QUADRO DE DISTRIBUICAO, SEM BARRAMENTO, EM PVC, DE SOBREPOR, PARA 8 DISJUNTORES DIN</t>
  </si>
  <si>
    <t xml:space="preserve">LAMPADA DE LUZ MISTA 160 W, BASE E27 (220 V)  </t>
  </si>
  <si>
    <t xml:space="preserve">LAMPADA DE LUZ MISTA 250 W, BASE E27 (220 V)  </t>
  </si>
  <si>
    <t xml:space="preserve">LAMPADA FLUORESCENTE COMPACTA BRANCA 135 W, BASE E40 (127/220 V)  </t>
  </si>
  <si>
    <t xml:space="preserve">LAMPADA FLUORESCENTE COMPACTA 2U BRANCA 15 W, BASE E27 (127/220 V)  </t>
  </si>
  <si>
    <t xml:space="preserve">LAMPADA FLUORESCENTE COMPACTA 2U/3U BRANCA 9/10 W, BASE E27 (127/220 V)  </t>
  </si>
  <si>
    <t>LAMPADA FLUORESCENTE TUBULAR T10, DE 20 OU 40 W, BIVOLT</t>
  </si>
  <si>
    <t xml:space="preserve">LAMPADA LED TIPO DICROICA BIVOLT, LUZ BRANCA, 5 W (BASE GU10)  </t>
  </si>
  <si>
    <t xml:space="preserve">LAMPADA LED TUBULAR BIVOLT 9/10 W, BASE G13  </t>
  </si>
  <si>
    <t>LUMINARIA DE SOBREPOR EM CHAPA DE ACO COM ALETAS PLASTICAS, PARA 1 LAMPADA, BASE E27, POTENCIA MAXIMA 40/60 W (NAO INCLUI LAMPADA)</t>
  </si>
  <si>
    <t>LUMINARIA DE SOBREPOR EM CHAPA DE ACO COM ALETAS PLASTICAS, PARA 2 LAMPADAS, BASE E27, POTENCIA MAXIMA 40/60 W (NAO INCLUI LAMPADAS)</t>
  </si>
  <si>
    <t>LUMINARIA DE SOBREPOR EM CHAPA DE ACO PARA 1 LAMPADA FLUORESCENTE DE *18* W, ALETADA, COMPLETA (LAMPADA E REATOR INCLUSOS)</t>
  </si>
  <si>
    <t>LUMINARIA PLAFON REDONDO COM VIDRO FOSCO DIAMETRO *25* CM, PARA 1 LAMPADA, BASE E27, POTENCIA MAXIMA 40/60 W (NAO INCLUI LAMPADA)</t>
  </si>
  <si>
    <t>LUMINARIA SPOT DE SOBREPOR EM ALUMINIO COM ALETA PLASTICA PARA 1 LAMPADA, BASE E27, POTENCIA MAXIMA 40/60 W (NAO INCLUI LAMPADA)</t>
  </si>
  <si>
    <t>LUMINARIA SPOT DE SOBREPOR EM ALUMINIO COM ALETA PLASTICA PARA 2 LAMPADAS, BASE E27, POTENCIA MAXIMA 40/60 W (NAO INCLUI LAMPADA)</t>
  </si>
  <si>
    <t>SENSOR DE PRESENCA BIVOLT COM FOTOCELULA PARA QUALQUER TIPO DE LAMPADA, POTENCIA MAXIMA *1000* W, USO EXTERNO</t>
  </si>
  <si>
    <t>SENSOR DE PRESENCA BIVOLT DE PAREDE COM FOTOCELULA PARA QUALQUER TIPO DE LAMPADA POTENCIA MAXIMA *1000* W, USO INTERNO</t>
  </si>
  <si>
    <t>SENSOR DE PRESENCA BIVOLT DE PAREDE SEM FOTOCELULA PARA QUALQUER TIPO DE LAMPADA POTENCIA MAXIMA *1000* W, USO INTERNO</t>
  </si>
  <si>
    <t>SENSOR DE PRESENCA BIVOLT DE TETO COM FOTOCELULA PARA QUALQUER TIPO DE LAMPADA POTENCIA MAXIMA *1000* W, USO INTERNO</t>
  </si>
  <si>
    <t>SENSOR DE PRESENCA BIVOLT DE TETO SEM FOTOCELULA PARA QUALQUER TIPO DE LAMPADA POTENCIA MAXIMA *900* W, USO INTERNO</t>
  </si>
  <si>
    <t xml:space="preserve">SOQUETE DE PORCELANA BASE E27, FIXO DE TETO, PARA LAMPADAS  </t>
  </si>
  <si>
    <t xml:space="preserve">SOQUETE DE PORCELANA BASE E27, PARA USO AO TEMPO, PARA LAMPADAS  </t>
  </si>
  <si>
    <t xml:space="preserve">SOQUETE DE PVC / TERMOPLASTICO BASE E27, COM CHAVE, PARA LAMPADAS  </t>
  </si>
  <si>
    <t xml:space="preserve">ESPELHO / PLACA CEGA 4" X 2", PARA INSTALACAO DE TOMADAS E INTERRUPTORES </t>
  </si>
  <si>
    <t xml:space="preserve">ESPELHO / PLACA CEGA 4" X 4", PARA INSTALACAO DE TOMADAS E INTERRUPTORES </t>
  </si>
  <si>
    <t xml:space="preserve">ESPELHO / PLACA DE 1 POSTO 4" X 2", PARA INSTALACAO DE TOMADAS E INTERRUPTORES </t>
  </si>
  <si>
    <t xml:space="preserve">ESPELHO / PLACA DE 2 POSTOS 4" X 2", PARA INSTALACAO DE TOMADAS E INTERRUPTORES </t>
  </si>
  <si>
    <t xml:space="preserve">ESPELHO / PLACA DE 2 POSTOS 4" X 4", PARA INSTALACAO DE TOMADAS E INTERRUPTORES </t>
  </si>
  <si>
    <t xml:space="preserve">ESPELHO / PLACA DE 3 POSTOS 4" X 2", PARA INSTALACAO DE TOMADAS E INTERRUPTORES </t>
  </si>
  <si>
    <t xml:space="preserve">ESPELHO / PLACA DE 4 POSTOS 4" X 4", PARA INSTALACAO DE TOMADAS E INTERRUPTORES </t>
  </si>
  <si>
    <t xml:space="preserve">ESPELHO / PLACA DE 6 POSTOS 4" X 4", PARA INSTALACAO DE TOMADAS E INTERRUPTORES </t>
  </si>
  <si>
    <t>INTERRUPTOR PARALELO + TOMADA 2P+T 10A, 250V, CONJUNTO MONTADO PARA EMBUTIR 4" X 2" (PLACA + SUPORTE + MODULOS)</t>
  </si>
  <si>
    <t>INTERRUPTOR SIMPLES + INTERRUPTOR PARALELO + TOMADA 2P+T 10A, 250V, CONJUNTO MONTADO PARA EMBUTIR 4" X 2" (PLACA + SUPORTE + MODULOS)</t>
  </si>
  <si>
    <t>INTERRUPTOR SIMPLES + TOMADA 2P+T 10A, 250V, CONJUNTO MONTADO PARA EMBUTIR 4" X 2" (PLACA + SUPORTE + MODULOS)</t>
  </si>
  <si>
    <t>INTERRUPTORES PARALELOS (2 MODULOS) + TOMADA 2P+T 10A, 250V, CONJUNTO MONTADO PARA EMBUTIR 4" X 2" (PLACA + SUPORTE + MODULOS)</t>
  </si>
  <si>
    <t>INTERRUPTORES SIMPLES (2 MODULOS) + TOMADA 2P+T 10A, 250V, CONJUNTO MONTADO PARA EMBUTIR 4" X 2" (PLACA + SUPORTE + MODULOS)</t>
  </si>
  <si>
    <t>SUPORTE DE FIXACAO PARA ESPELHO / PLACA 4" X 2", PARA 3 MODULOS, PARA INSTALACAO DE TOMADAS E INTERRUPTORES (SOMENTE SUPORTE)</t>
  </si>
  <si>
    <t>SUPORTE DE FIXACAO PARA ESPELHO / PLACA 4" X 4", PARA 6 MODULOS, PARA INSTALACAO DE TOMADAS E INTERRUPTORES (SOMENTE SUPORTE)</t>
  </si>
  <si>
    <t>TAMPA PARA CONDULETE, EM PVC, PARA TOMADA HEXAGONAL</t>
  </si>
  <si>
    <t>TOMADA PARA ANTENA DE TV, CABO COAXIAL DE 9 MM, CONJUNTO MONTADO PARA EMBUTIR 4" X 2" (PLACA + SUPORTE + MODULO)</t>
  </si>
  <si>
    <t xml:space="preserve">TOMADA RJ11, 2 FIOS (APENAS MODULO) </t>
  </si>
  <si>
    <t>TOMADA RJ11, 2 FIOS, CONJUNTO MONTADO PARA EMBUTIR 4" X 2" (PLACA + SUPORTE + MODULO)</t>
  </si>
  <si>
    <t xml:space="preserve">TOMADA RJ45, 8 FIOS, CAT 5E (APENAS MODULO) </t>
  </si>
  <si>
    <t xml:space="preserve">TOMADA 2P+T 10A, 250V  (APENAS MODULO) </t>
  </si>
  <si>
    <t>TOMADA 2P+T 10A, 250V, CONJUNTO MONTADO PARA EMBUTIR 4" X 2" (PLACA + SUPORTE + MODULO)</t>
  </si>
  <si>
    <t>TOMADA 2P+T 10A, 250V, CONJUNTO MONTADO PARA SOBREPOR 4" X 2" (CAIXA + MODULO)</t>
  </si>
  <si>
    <t>TOMADA 2P+T 20A 250V, CONJUNTO MONTADO PARA EMBUTIR 4" X 2" (PLACA + SUPORTE + MODULO)</t>
  </si>
  <si>
    <t>TOMADAS (2 MODULOS) 2P+T 10A, 250V, CONJUNTO MONTADO PARA EMBUTIR 4" X 2" (PLACA + SUPORTE + MODULOS)</t>
  </si>
  <si>
    <t>TAMPAO / TERMINAL / PLUG, D = 1 1/4" , PARA DUTO CORRUGADO PEAD (CABEAMENTO SUBTERRANEO)</t>
  </si>
  <si>
    <t>TAMPAO / TERMINAL / PLUG, D = 2" , PARA DUTO CORRUGADO PEAD (CABEAMENTO SUBTERRANEO)</t>
  </si>
  <si>
    <t>TAMPAO / TERMINAL / PLUG, D = 3" , PARA DUTO CORRUGADO PEAD (CABEAMENTO SUBTERRANEO)</t>
  </si>
  <si>
    <t>TAMPAO / TERMINAL / PLUG, D = 4" , PARA DUTO CORRUGADO PEAD (CABEAMENTO SUBTERRANEO)</t>
  </si>
  <si>
    <t>FIO DE COBRE, SOLIDO, CLASSE 1, ISOLACAO EM PVC/A, ANTICHAMA BWF-B, 450/750V, SECAO NOMINAL 1,5 MM2</t>
  </si>
  <si>
    <t>FIO DE COBRE, SOLIDO, CLASSE 1, ISOLACAO EM PVC/A, ANTICHAMA BWF-B, 450/750V, SECAO NOMINAL 10 MM2</t>
  </si>
  <si>
    <t>FIO DE COBRE, SOLIDO, CLASSE 1, ISOLACAO EM PVC/A, ANTICHAMA BWF-B, 450/750V, SECAO NOMINAL 2,5 MM2</t>
  </si>
  <si>
    <t>FIO DE COBRE, SOLIDO, CLASSE 1, ISOLACAO EM PVC/A, ANTICHAMA BWF-B, 450/750V, SECAO NOMINAL 4 MM2</t>
  </si>
  <si>
    <t>FIO DE COBRE, SOLIDO, CLASSE 1, ISOLACAO EM PVC/A, ANTICHAMA BWF-B, 450/750V, SECAO NOMINAL 6 MM2</t>
  </si>
  <si>
    <t>INTERRUPTOR BIPOLAR SIMPLES 10 A, 250 V (APENAS MODULO)</t>
  </si>
  <si>
    <t>INTERRUPTOR BIPOLAR 10A, 250V, CONJUNTO MONTADO PARA EMBUTIR 4" X 2" (PLACA + SUPORTE + MODULO)</t>
  </si>
  <si>
    <t xml:space="preserve">INTERRUPTOR PARALELO 10A, 250V (APENAS MODULO) </t>
  </si>
  <si>
    <t>INTERRUPTOR SIMPLES + INTERRUPTOR PARALELO 10A, 250V, CONJUNTO MONTADO PARA EMBUTIR 4" X 2" (PLACA + SUPORTE + MODULOS)</t>
  </si>
  <si>
    <t>INTERRUPTOR SIMPLES + 2 INTERRUPTORES PARALELOS 10A, 250V, CONJUNTO MONTADO PARA EMBUTIR 4" X 2" (PLACA + SUPORTE + MODULOS)</t>
  </si>
  <si>
    <t xml:space="preserve">INTERRUPTOR SIMPLES 10A, 250V (APENAS MODULO) </t>
  </si>
  <si>
    <t>INTERRUPTOR SIMPLES 10A, 250V, CONJUNTO MONTADO PARA EMBUTIR 4" X 2" (PLACA + SUPORTE + MODULO)</t>
  </si>
  <si>
    <t>INTERRUPTOR SIMPLES 10A, 250V, CONJUNTO MONTADO PARA SOBREPOR 4" X 2" (CAIXA + MODULO)</t>
  </si>
  <si>
    <t>INTERRUPTOR SIMPLES 10A, 250V, CONJUNTO MONTADO PARA SOBREPOR 4" X 2" (CAIXA + 2 MODULOS)</t>
  </si>
  <si>
    <t>INTERRUPTORES PARALELOS (2 MODULOS) 10A, 250V, CONJUNTO MONTADO PARA EMBUTIR 4" X 2" (PLACA + SUPORTE + MODULOS)</t>
  </si>
  <si>
    <t>INTERRUPTORES PARALELOS (3 MODULOS) 10A, 250V, CONJUNTO MONTADO PARA EMBUTIR 4" X 2" (PLACA + SUPORTE + MODULO)</t>
  </si>
  <si>
    <t>INTERRUPTORES SIMPLES (2 MODULOS) + 1 INTERRUPTOR PARALELO 10A, 250V, CONJUNTO MONTADO PARA EMBUTIR 4" X 2" (PLACA + SUPORTE + MODULOS)</t>
  </si>
  <si>
    <t>INTERRUPTORES SIMPLES (2 MODULOS) 10A, 250V, CONJUNTO MONTADO PARA EMBUTIR 4" X 2" (PLACA + SUPORTE + MODULOS)</t>
  </si>
  <si>
    <t>INTERRUPTORES SIMPLES (3 MODULOS) 10A, 250V, CONJUNTO MONTADO PARA EMBUTIR 4" X 2" (PLACA + SUPORTE + MODULOS)</t>
  </si>
  <si>
    <t>TAMPA PARA CONDULETE, EM PVC, PARA 1 INTERRUPTOR</t>
  </si>
  <si>
    <t xml:space="preserve"> 2.65</t>
  </si>
  <si>
    <t>PLUG OU BUJAO DE FERRO GALVANIZADO, DE 1 1/2"</t>
  </si>
  <si>
    <t xml:space="preserve"> 2.66</t>
  </si>
  <si>
    <t xml:space="preserve"> 2.67</t>
  </si>
  <si>
    <t xml:space="preserve"> 2.68</t>
  </si>
  <si>
    <t xml:space="preserve"> 2.69</t>
  </si>
  <si>
    <t xml:space="preserve"> 2.70</t>
  </si>
  <si>
    <t>PLUG OU BUJAO DE FERRO GALVANIZADO, DE 1 1/4"</t>
  </si>
  <si>
    <t xml:space="preserve"> 2.71</t>
  </si>
  <si>
    <t xml:space="preserve"> 2.72</t>
  </si>
  <si>
    <t>PLUG OU BUJAO DE FERRO GALVANIZADO, DE 1/2"</t>
  </si>
  <si>
    <t xml:space="preserve"> 2.73</t>
  </si>
  <si>
    <t xml:space="preserve"> 2.74</t>
  </si>
  <si>
    <t>PLUG OU BUJAO DE FERRO GALVANIZADO, DE 1"</t>
  </si>
  <si>
    <t xml:space="preserve"> 2.75</t>
  </si>
  <si>
    <t xml:space="preserve"> 2.76</t>
  </si>
  <si>
    <t xml:space="preserve">PLUG PVC P/ ESG PREDIAL  75MM  </t>
  </si>
  <si>
    <t xml:space="preserve"> 2.77</t>
  </si>
  <si>
    <t xml:space="preserve"> 2.78</t>
  </si>
  <si>
    <t xml:space="preserve">PLUG PVC P/ ESG PREDIAL 100MM  </t>
  </si>
  <si>
    <t xml:space="preserve"> 2.79</t>
  </si>
  <si>
    <t xml:space="preserve"> 2.80</t>
  </si>
  <si>
    <t xml:space="preserve">PLUG PVC P/ ESG PREDIAL 50MM  </t>
  </si>
  <si>
    <t xml:space="preserve"> 2.81</t>
  </si>
  <si>
    <t xml:space="preserve"> 2.82</t>
  </si>
  <si>
    <t xml:space="preserve">PLUG PVC ROSCAVEL,  1/2",  AGUA FRIA PREDIAL (NBR 5648)  </t>
  </si>
  <si>
    <t xml:space="preserve"> 2.83</t>
  </si>
  <si>
    <t xml:space="preserve"> 2.84</t>
  </si>
  <si>
    <t xml:space="preserve">PLUG PVC,  JE, DN 100 MM, PARA REDE COLETORA ESGOTO (NBR 10569)  </t>
  </si>
  <si>
    <t xml:space="preserve"> 2.85</t>
  </si>
  <si>
    <t xml:space="preserve"> 2.86</t>
  </si>
  <si>
    <t xml:space="preserve">PLUG PVC, JE, DN 150 MM, PARA REDE COLETORA ESGOTO (NBR 10569)  </t>
  </si>
  <si>
    <t xml:space="preserve"> 2.87</t>
  </si>
  <si>
    <t xml:space="preserve"> 2.88</t>
  </si>
  <si>
    <t xml:space="preserve">PLUG PVC, JE, DN 200 MM, PARA REDE COLETORA ESGOTO (NBR 10569)  </t>
  </si>
  <si>
    <t xml:space="preserve"> 2.89</t>
  </si>
  <si>
    <t xml:space="preserve"> 2.90</t>
  </si>
  <si>
    <t xml:space="preserve"> 2.91</t>
  </si>
  <si>
    <t xml:space="preserve"> 2.92</t>
  </si>
  <si>
    <t xml:space="preserve"> 2.93</t>
  </si>
  <si>
    <t xml:space="preserve"> 2.94</t>
  </si>
  <si>
    <t xml:space="preserve"> 2.95</t>
  </si>
  <si>
    <t xml:space="preserve"> 2.96</t>
  </si>
  <si>
    <t xml:space="preserve">PLUG PVC, ROSCAVEL 3/4", PARA  AGUA FRIA PREDIAL  </t>
  </si>
  <si>
    <t xml:space="preserve"> 2.97</t>
  </si>
  <si>
    <t xml:space="preserve"> 2.98</t>
  </si>
  <si>
    <t xml:space="preserve">PLUG PVC, ROSCAVEL, 1 1/4",  AGUA FRIA PREDIAL  </t>
  </si>
  <si>
    <t xml:space="preserve"> 2.99</t>
  </si>
  <si>
    <t xml:space="preserve"> 2.100</t>
  </si>
  <si>
    <t xml:space="preserve">PLUG PVC, ROSCAVEL, 2",  AGUA FRIA PREDIAL  </t>
  </si>
  <si>
    <t xml:space="preserve"> 2.101</t>
  </si>
  <si>
    <t xml:space="preserve"> 2.102</t>
  </si>
  <si>
    <t xml:space="preserve"> 2.103</t>
  </si>
  <si>
    <t xml:space="preserve"> 2.104</t>
  </si>
  <si>
    <t xml:space="preserve"> 2.105</t>
  </si>
  <si>
    <t xml:space="preserve"> 2.106</t>
  </si>
  <si>
    <t xml:space="preserve">ADESIVO PARA TUBOS CPVC, *75* G  </t>
  </si>
  <si>
    <t xml:space="preserve"> 2.107</t>
  </si>
  <si>
    <t xml:space="preserve">ANEL BORRACHA DN 100 MM, PARA TUBO SERIE REFORCADA ESGOTO PREDIAL  </t>
  </si>
  <si>
    <t xml:space="preserve"> 2.108</t>
  </si>
  <si>
    <t xml:space="preserve"> 2.109</t>
  </si>
  <si>
    <t xml:space="preserve">ANEL BORRACHA DN 75 MM, PARA TUBO SERIE REFORCADA ESGOTO PREDIAL  </t>
  </si>
  <si>
    <t xml:space="preserve"> 2.110</t>
  </si>
  <si>
    <t xml:space="preserve"> 2.111</t>
  </si>
  <si>
    <t xml:space="preserve"> 2.112</t>
  </si>
  <si>
    <t xml:space="preserve"> 2.113</t>
  </si>
  <si>
    <t xml:space="preserve"> 2.114</t>
  </si>
  <si>
    <t xml:space="preserve"> 2.115</t>
  </si>
  <si>
    <t xml:space="preserve"> 2.116</t>
  </si>
  <si>
    <t xml:space="preserve"> 2.117</t>
  </si>
  <si>
    <t xml:space="preserve"> 2.118</t>
  </si>
  <si>
    <t xml:space="preserve">ANEL BORRACHA, DN 150 MM, PARA TUBO SERIE REFORCADA ESGOTO PREDIAL  </t>
  </si>
  <si>
    <t xml:space="preserve"> 2.119</t>
  </si>
  <si>
    <t xml:space="preserve"> 2.120</t>
  </si>
  <si>
    <t xml:space="preserve">ANEL BORRACHA, DN 40 MM, PARA TUBO SERIE REFORCADA ESGOTO PREDIAL  </t>
  </si>
  <si>
    <t xml:space="preserve"> 2.121</t>
  </si>
  <si>
    <t xml:space="preserve"> 2.122</t>
  </si>
  <si>
    <t xml:space="preserve">ANEL BORRACHA, DN 50 MM, PARA TUBO SERIE REFORCADA ESGOTO PREDIAL  </t>
  </si>
  <si>
    <t xml:space="preserve"> 2.123</t>
  </si>
  <si>
    <t xml:space="preserve"> 2.124</t>
  </si>
  <si>
    <t xml:space="preserve">ANEL BORRACHA, PARA TUBO PVC DEFOFO, DN 100 MM (NBR 7665)  </t>
  </si>
  <si>
    <t xml:space="preserve"> 2.125</t>
  </si>
  <si>
    <t xml:space="preserve"> 2.126</t>
  </si>
  <si>
    <t xml:space="preserve">ANEL BORRACHA, PARA TUBO PVC DEFOFO, DN 150 MM (NBR 7665)  </t>
  </si>
  <si>
    <t xml:space="preserve"> 2.127</t>
  </si>
  <si>
    <t xml:space="preserve"> 2.128</t>
  </si>
  <si>
    <t xml:space="preserve">ANEL BORRACHA, PARA TUBO PVC DEFOFO, DN 200 MM (NBR 7665)  </t>
  </si>
  <si>
    <t xml:space="preserve"> 2.129</t>
  </si>
  <si>
    <t xml:space="preserve"> 2.130</t>
  </si>
  <si>
    <t xml:space="preserve">ANEL BORRACHA, PARA TUBO PVC DEFOFO, DN 250 MM (NBR 7665)  </t>
  </si>
  <si>
    <t xml:space="preserve"> 2.131</t>
  </si>
  <si>
    <t xml:space="preserve"> 2.132</t>
  </si>
  <si>
    <t xml:space="preserve">ANEL BORRACHA, PARA TUBO/CONEXAO PVC PBA, DN 50 MM, PARA REDE AGUA  </t>
  </si>
  <si>
    <t xml:space="preserve"> 2.133</t>
  </si>
  <si>
    <t xml:space="preserve"> 2.134</t>
  </si>
  <si>
    <t xml:space="preserve"> 2.135</t>
  </si>
  <si>
    <t xml:space="preserve"> 2.136</t>
  </si>
  <si>
    <t xml:space="preserve">CAP, PVC, JE, OCRE, DN 150 MM (CONEXAO PARA TUBO COLETOR DE ESGOTO) </t>
  </si>
  <si>
    <t xml:space="preserve"> 2.137</t>
  </si>
  <si>
    <t xml:space="preserve">CAP, PVC, JE, OCRE, DN 200 MM (CONEXAO PARA TUBO COLETOR DE ESGOTO) </t>
  </si>
  <si>
    <t>CONJUNTO DE LIGACAO PARA BACIA SANITARIA AJUSTAVEL, EM PLASTICO BRANCO, COM TUBO, CANOPLA E ESPUDE</t>
  </si>
  <si>
    <t>CONJUNTO DE LIGACAO PARA BACIA SANITARIA EM PLASTICO BRANCO COM TUBO, CANOPLA E ANEL DE EXPANSAO (TUBO 1.1/2 '' X 20 CM)</t>
  </si>
  <si>
    <t>COTOVELO/JOELHO COM ADAPTADOR, 90 GRAUS, EM POLIPROPILENO, PN 16, PARA TUBOS PEAD, 20 MM X 1/2" - LIGACAO PREDIAL DE AGUA</t>
  </si>
  <si>
    <t>COTOVELO/JOELHO COM ADAPTADOR, 90 GRAUS, EM POLIPROPILENO, PN 16, PARA TUBOS PEAD, 20 MM X 3/4" - LIGACAO PREDIAL DE AGUA</t>
  </si>
  <si>
    <t>COTOVELO/JOELHO COM ADAPTADOR, 90 GRAUS, EM POLIPROPILENO, PN 16, PARA TUBOS PEAD, 32 MM X 1" - LIGACAO PREDIAL DE AGUA</t>
  </si>
  <si>
    <t>COTOVELO/JOELHO 90 GRAUS, EM POLIPROPILENO, PN 16, PARA TUBOS PEAD, 20 X 20 MM - LIGACAO PREDIAL DE AGUA</t>
  </si>
  <si>
    <t>COTOVELO/JOELHO 90 GRAUS, EM POLIPROPILENO, PN 16, PARA TUBOS PEAD, 32 X 32 MM - LIGACAO PREDIAL DE AGUA</t>
  </si>
  <si>
    <t>CURVA PVC, BB, JE, 45 GRAUS, DN 200 MM, PARA TUBO CORRUGADO E/OU LISO, REDE COLETORA ESGOTO (NBR 10569)</t>
  </si>
  <si>
    <t>CURVA PVC, BB, JE, 45 GRAUS, DN 250 MM, PARA TUBO CORRUGADO E/OU LISO, REDE COLETORA ESGOTO (NBR 10569)</t>
  </si>
  <si>
    <t>CURVA PVC, BB, JE, 90 GRAUS, DN 200 MM, PARA TUBO CORRUGADO E/OU LISO, REDE COLETORA ESGOTO (NBR 10569)</t>
  </si>
  <si>
    <t>CURVA PVC, BB, JE, 90 GRAUS, DN 250 MM, PARA TUBO CORRUGADO E/OU LISO, REDE COLETORA ESGOTO (NBR 10569)</t>
  </si>
  <si>
    <t>DISTRIBUIDOR METALICO, COM ROSCA, 2 SAIDAS, DN 1" X 1/2", PARA CONEXAO COM ANEL DESLIZANTE EM TUBO PEX</t>
  </si>
  <si>
    <t>DISTRIBUIDOR METALICO, COM ROSCA, 2 SAIDAS, DN 3/4" X 1/2", PARA CONEXAO COM ANEL DESLIZANTE EM TUBO PEX</t>
  </si>
  <si>
    <t>DISTRIBUIDOR METALICO, COM ROSCA, 3 SAIDAS, DN 1" X 1/2", PARA CONEXAO COM ANEL DESLIZANTE EM TUBO PEX</t>
  </si>
  <si>
    <t>DISTRIBUIDOR METALICO, COM ROSCA, 3 SAIDAS, DN 3/4" X 1/2", PARA CONEXAO COM ANEL DESLIZANTE EM TUBO PEX</t>
  </si>
  <si>
    <t>DISTRIBUIDOR, PLASTICO, 2 SAIDAS, DN 32 X 20 MM, PARA CONEXAO COM CRIMPAGEM EM TUBO PEX</t>
  </si>
  <si>
    <t>DISTRIBUIDOR, PLASTICO, 2 SAIDAS, DN 32 X 25 MM, PARA CONEXAO COM CRIMPAGEM EM TUBO PEX</t>
  </si>
  <si>
    <t xml:space="preserve">LUVA DE CORRER PARA TUBO ROSCAVEL, PVC, 1 1/2", PARA AGUA FRIA PREDIAL  </t>
  </si>
  <si>
    <t xml:space="preserve">LUVA DE CORRER PARA TUBO ROSCAVEL, PVC, 1/2", PARA AGUA FRIA PREDIAL  </t>
  </si>
  <si>
    <t xml:space="preserve">LUVA DE CORRER PARA TUBO ROSCAVEL, PVC, 3/4", PARA AGUA FRIA PREDIAL  </t>
  </si>
  <si>
    <t xml:space="preserve">LUVA DE CORRER PARA TUBO SOLDAVEL, PVC, 20 MM, PARA AGUA FRIA PREDIAL  </t>
  </si>
  <si>
    <t xml:space="preserve">LUVA DE CORRER PARA TUBO SOLDAVEL, PVC, 25 MM, PARA AGUA FRIA PREDIAL  </t>
  </si>
  <si>
    <t xml:space="preserve">LUVA DE CORRER PARA TUBO SOLDAVEL, PVC, 50 MM, PARA AGUA FRIA PREDIAL  </t>
  </si>
  <si>
    <t>MANGUEIRA DE INCENDIO, TIPO 1, DE 1 1/2", COMPRIMENTO = 15 M, TECIDO EM FIO DE POLIESTER E TUBO INTERNO EM BORRACHA SINTETICA, COM UNIOES ENGATE RAPIDO</t>
  </si>
  <si>
    <t>MANGUEIRA DE INCENDIO, TIPO 1, DE 1 1/2", COMPRIMENTO = 30 M, TECIDO EM FIO DE POLIESTER E TUBO INTERNO EM BORRACHA SINTETICA, COM UNIOES ENGATE RAPIDO</t>
  </si>
  <si>
    <t>PASTA LUBRIFICANTE PARA TUBOS E CONEXOES COM JUNTA ELASTICA (USO EM PVC, ACO, POLIETILENO E OUTROS) ( DE *400* G)</t>
  </si>
  <si>
    <t>PASTA PARA SOLDA DE TUBOS E CONEXOES DE COBRE (EMBALAGEM COM 250 G)</t>
  </si>
  <si>
    <t>TE DE REDUCAO, PVC, BBB, JE, 90 GRAUS, DN 200 X 150 MM, PARA TUBO CORRUGADO E/OU LISO, REDE COLETORA ESGOTO (NBR 10569)</t>
  </si>
  <si>
    <t>TE DE REDUCAO, PVC, BBB, JE, 90 GRAUS, DN 250 X 150 MM, PARA TUBO CORRUGADO E/OU LISO, REDE COLETORA ESGOTO (NBR 10569)</t>
  </si>
  <si>
    <t>TE DE SERVICO INTEGRADO, EM POLIPROPILENO (PP), PARA TUBOS EM PEAD/PVC, 60 X 20 MM - LIGACAO PREDIAL DE AGUA</t>
  </si>
  <si>
    <t>TIL TUBO QUEDA, EM PVC, JE, BBB, DN 100 X 100 MM, PARA REDE COLETORA DE ESGOTO (NBR 10569)</t>
  </si>
  <si>
    <t xml:space="preserve">TUBO COLETOR DE ESGOTO PVC, JEI, DN 200 MM (NBR 7362) </t>
  </si>
  <si>
    <t xml:space="preserve">TUBO COLETOR DE ESGOTO PVC, JEI, DN 250 MM (NBR 7362) </t>
  </si>
  <si>
    <t xml:space="preserve">TUBO COLETOR DE ESGOTO PVC, JEI, DN 300 MM (NBR 7362) </t>
  </si>
  <si>
    <t xml:space="preserve">TUBO COLETOR DE ESGOTO, PVC, JEI, DN 150 MM  (NBR 7362) </t>
  </si>
  <si>
    <t>TUBO CONCRETO ARMADO, CLASSE EA-2, PB JE, DN 1000 MM, PARA ESGOTO SANITARIO (NBR 8890)</t>
  </si>
  <si>
    <t>TUBO CONCRETO ARMADO, CLASSE EA-2, PB JE, DN 300 MM, PARA ESGOTO SANITARIO (NBR 8890)</t>
  </si>
  <si>
    <t>TUBO CONCRETO ARMADO, CLASSE EA-2, PB JE, DN 400 MM, PARA ESGOTO SANITARIO (NBR 8890)</t>
  </si>
  <si>
    <t xml:space="preserve">TUBO CPVC SOLDAVEL, 35 MM, AGUA QUENTE PREDIAL (NBR 15884)  </t>
  </si>
  <si>
    <t xml:space="preserve">TUBO CPVC, SOLDAVEL, 15 MM, AGUA QUENTE PREDIAL (NBR 15884)  </t>
  </si>
  <si>
    <t xml:space="preserve">TUBO CPVC, SOLDAVEL, 22 MM, AGUA QUENTE PREDIAL (NBR 15884)  </t>
  </si>
  <si>
    <t xml:space="preserve">TUBO CPVC, SOLDAVEL, 28 MM, AGUA QUENTE PREDIAL (NBR 15884)  </t>
  </si>
  <si>
    <t>TUBO DE BORRACHA ELASTOMERICA FLEXIVEL, PRETA, PARA ISOLAMENTO TERMICO DE TUBULACAO, DN 1 1/8" (28 MM), E= 32 MM, COEFICIENTE DE CONDUTIVIDADE TERMICA 0,036W/mK, VAPOR DE AGUA MAIOR OU IGUAL A 10.000</t>
  </si>
  <si>
    <t>TUBO DE BORRACHA ELASTOMERICA FLEXIVEL, PRETA, PARA ISOLAMENTO TERMICO DE TUBULACAO, DN 1/2" (12 MM), E= 19 MM, COEFICIENTE DE CONDUTIVIDADE TERMICA 0,036W/mK, VAPOR DE AGUA MAIOR OU IGUAL A 10.000</t>
  </si>
  <si>
    <t>TUBO DE BORRACHA ELASTOMERICA FLEXIVEL, PRETA, PARA ISOLAMENTO TERMICO DE TUBULACAO, DN 1/4" (6 MM), E= 9 MM, COEFICIENTE DE CONDUTIVIDADE TERMICA 0,036W/mK, VAPOR DE AGUA MAIOR OU IGUAL A 10.000</t>
  </si>
  <si>
    <t>TUBO DE CONCRETO SIMPLES, CLASSE- PS1, MACHO/FEMEA, DN 200 MM, PARA AGUAS PLUVIAIS (NBR 8890)</t>
  </si>
  <si>
    <t>TUBO DE CONCRETO SIMPLES, CLASSE- PS1, MACHO/FEMEA, DN 300 MM, PARA AGUAS PLUVIAIS (NBR 8890)</t>
  </si>
  <si>
    <t>TUBO DE CONCRETO SIMPLES, CLASSE- PS1, MACHO/FEMEA, DN 400 MM, PARA AGUAS PLUVIAIS (NBR 8890)</t>
  </si>
  <si>
    <t xml:space="preserve">TUBO DE DESCARGA PVC, PARA LIGACAO CAIXA DE DESCARGA - EMBUTIR, 40 MM X 150 CM  </t>
  </si>
  <si>
    <t>TUBO DE DESCIDA EXTERNO DE PVC PARA CAIXA DE DESCARGA EXTERNA ALTA - 40 MM X 1,60 M</t>
  </si>
  <si>
    <t>TUBO DE ESPUMA DE POLIETILENO EXPANDIDO FLEXIVEL PARA ISOLAMENTO TERMICO DE TUBULACAO DE AR CONDICIONADO, AGUA QUENTE,  DN 1 1/2", E= 10 MM</t>
  </si>
  <si>
    <t>TUBO DE ESPUMA DE POLIETILENO EXPANDIDO FLEXIVEL PARA ISOLAMENTO TERMICO DE TUBULACAO DE AR CONDICIONADO, AGUA QUENTE,  DN 1 1/4", E= 10 MM</t>
  </si>
  <si>
    <t>TUBO DE ESPUMA DE POLIETILENO EXPANDIDO FLEXIVEL PARA ISOLAMENTO TERMICO DE TUBULACAO DE AR CONDICIONADO, AGUA QUENTE,  DN 1 1/8", E= 10 MM</t>
  </si>
  <si>
    <t xml:space="preserve">TUBO DE PVC, PBL, TIPO LEVE, DN = 125 MM,  PARA VENTILACAO  </t>
  </si>
  <si>
    <t xml:space="preserve">TUBO DE PVC, PBL, TIPO LEVE, DN = 250 MM,  PARA VENTILACAO  </t>
  </si>
  <si>
    <t>TUBO DRENO, CORRUGADO, ESPIRALADO, FLEXIVEL, PERFURADO, EM POLIETILENO DE ALTA DENSIDADE (PEAD), DN 100 MM, (4") PARA DRENAGEM - EM ROLO (NORMA DNIT 093/2006 - E.M)</t>
  </si>
  <si>
    <t xml:space="preserve">TUBO PPR, CLASSE PN 25, DN 25 MM, PARA AGUA QUENTE E FRIA PREDIAL </t>
  </si>
  <si>
    <t xml:space="preserve">TUBO PPR, CLASSE PN 25, DN 32 MM, PARA AGUA QUENTE E FRIA PREDIAL </t>
  </si>
  <si>
    <t xml:space="preserve">TUBO PPR, CLASSE PN 25, DN 40 MM, PARA AGUA QUENTE E FRIA PREDIAL </t>
  </si>
  <si>
    <t xml:space="preserve">TUBO PPR, CLASSE PN 25, DN 50 MM, PARA AGUA QUENTE E FRIA PREDIAL </t>
  </si>
  <si>
    <t xml:space="preserve">TUBO PVC  SERIE NORMAL, DN 40 MM, PARA ESGOTO  PREDIAL (NBR 5688)  </t>
  </si>
  <si>
    <t xml:space="preserve">TUBO PVC CORRUGADO, PAREDE DUPLA, JE, DN 150 MM, REDE COLETORA ESGOTO  </t>
  </si>
  <si>
    <t xml:space="preserve">TUBO PVC CORRUGADO, PAREDE DUPLA, JE, DN 200 MM, REDE COLETORA ESGOTO  </t>
  </si>
  <si>
    <t xml:space="preserve">TUBO PVC CORRUGADO, PAREDE DUPLA, JE, DN 250 MM, REDE COLETORA ESGOTO  </t>
  </si>
  <si>
    <t xml:space="preserve">TUBO PVC, ROSCAVEL,  2", PARA AGUA FRIA PREDIAL  </t>
  </si>
  <si>
    <t xml:space="preserve">TUBO PVC, ROSCAVEL, 1", AGUA FRIA PREDIAL  </t>
  </si>
  <si>
    <t xml:space="preserve">TUBO PVC, ROSCAVEL, 3", AGUA FRIA PREDIAL  </t>
  </si>
  <si>
    <t xml:space="preserve">TUBO PVC, ROSCAVEL, 4",  AGUA FRIA PREDIAL  </t>
  </si>
  <si>
    <t>TUBO PVC, SERIE R, DN 100 MM, PARA ESGOTO OU AGUAS PLUVIAIS PREDIAL (NBR 5688)</t>
  </si>
  <si>
    <t>TUBO PVC, SERIE R, DN 150 MM, PARA ESGOTO OU AGUAS PLUVIAIS PREDIAL (NBR 5688)</t>
  </si>
  <si>
    <t>TUBO PVC, SERIE R, DN 50 MM, PARA ESGOTO OU AGUAS PLUVIAIS PREDIAL (NBR 5688)</t>
  </si>
  <si>
    <t>TUBO PVC, SERIE R, DN 75 MM, PARA ESGOTO OU AGUAS PLUVIAIS PREDIAL (NBR 5688)</t>
  </si>
  <si>
    <t xml:space="preserve">TUBO PVC, SOLDAVEL, DN 20 MM, AGUA FRIA (NBR-5648)  </t>
  </si>
  <si>
    <t xml:space="preserve">TUBO PVC, SOLDAVEL, DN 25 MM, AGUA FRIA (NBR-5648)  </t>
  </si>
  <si>
    <t xml:space="preserve">TUBO PVC, SOLDAVEL, DN 32 MM, AGUA FRIA (NBR-5648)  </t>
  </si>
  <si>
    <t xml:space="preserve">TUBO PVC, SOLDAVEL, DN 40 MM, AGUA FRIA (NBR-5648)  </t>
  </si>
  <si>
    <t xml:space="preserve">TUBO PVC, SOLDAVEL, DN 50 MM, PARA AGUA FRIA (NBR-5648)  </t>
  </si>
  <si>
    <t xml:space="preserve">TUBO PVC, SOLDAVEL, DN 60 MM, AGUA FRIA (NBR-5648)  </t>
  </si>
  <si>
    <t xml:space="preserve">BACIA SANITARIA (VASO) COM CAIXA ACOPLADA, DE LOUCA BRANCA  </t>
  </si>
  <si>
    <t xml:space="preserve">BACIA SANITARIA (VASO) CONVENCIONAL DE LOUCA BRANCA  </t>
  </si>
  <si>
    <t xml:space="preserve">LAVATORIO LOUCA BRANCA COM COLUNA *44 X 35,5* CM  </t>
  </si>
  <si>
    <t xml:space="preserve">LAVATORIO LOUCA BRANCA COM COLUNA *54 X 44* CM  </t>
  </si>
  <si>
    <t xml:space="preserve">LAVATORIO LOUCA COR SUSPENSO *40 X 30* CM  </t>
  </si>
  <si>
    <t xml:space="preserve">LAVATORIO/CUBA DE EMBUTIR OVAL LOUCA BRANCA SEM LADRAO *50 X 35* CM  </t>
  </si>
  <si>
    <t xml:space="preserve">MICTORIO SIFONADO LOUCA BRANCA SEM COMPLEMENTOS  </t>
  </si>
  <si>
    <t xml:space="preserve">TANQUE LOUCA BRANCA COM COLUNA *30* L  </t>
  </si>
  <si>
    <t>BRACO / CANO PARA CHUVEIRO ELETRICO, EM ALUMINIO, 30 CM X 1/2 "</t>
  </si>
  <si>
    <t xml:space="preserve">BRACO OU HASTE COM CANOPLA PLASTICA, 1/2 ", PARA CHUVEIRO ELETRICO  </t>
  </si>
  <si>
    <t xml:space="preserve">TORNEIRA CROMADA COM BICO PARA JARDIM/TANQUE 1/2 " OU 3/4 " (REF 1153)  </t>
  </si>
  <si>
    <t>TORNEIRA CROMADA CURTA SEM BICO PARA TANQUE, PADRAO POPULAR, 1/2 " OU 3/4 " (REF 1140)</t>
  </si>
  <si>
    <t>TORNEIRA CROMADA DE MESA PARA COZINHA BICA MOVEL COM AREJADOR 1/2 " OU 3/4 " (REF 1167)</t>
  </si>
  <si>
    <t xml:space="preserve">TORNEIRA CROMADA DE MESA PARA LAVATORIO TEMPORIZADA PRESSAO BICA BAIXA  </t>
  </si>
  <si>
    <t>TORNEIRA CROMADA DE MESA PARA LAVATORIO, PADRAO POPULAR, 1/2 " OU 3/4 " (REF 1193)</t>
  </si>
  <si>
    <t>TORNEIRA CROMADA DE PAREDE PARA COZINHA COM AREJADOR, PADRAO POPULAR, 1/2 " OU 3/4 " (REF 1159)</t>
  </si>
  <si>
    <t xml:space="preserve">TORNEIRA CROMADA SEM BICO PARA TANQUE, PADRAO POPULAR, 1/2 " OU 3/4 " (REF 1126)  </t>
  </si>
  <si>
    <t>TORNEIRA DE BOIA CONVENCIONAL PARA CAIXA D'AGUA, 1.1/4", COM HASTE E TORNEIRA METALICOS E BALAO PLASTICO</t>
  </si>
  <si>
    <t>TORNEIRA DE BOIA CONVENCIONAL PARA CAIXA D'AGUA, 1/2", COM HASTE E TORNEIRA METALICOS E BALAO PLASTICO</t>
  </si>
  <si>
    <t>TORNEIRA DE BOIA CONVENCIONAL PARA CAIXA D'AGUA, 1", COM HASTE E TORNEIRA METALICOS E BALAO PLASTICO</t>
  </si>
  <si>
    <t>TORNEIRA DE BOIA CONVENCIONAL PARA CAIXA D'AGUA, 3/4", COM HASTE E TORNEIRA METALICOS E BALAO PLASTICO</t>
  </si>
  <si>
    <t xml:space="preserve">TORNEIRA ELETRICA DE PAREDE, BICA ALTA, PARA COZINHA, 5500 W (110/220 V)  </t>
  </si>
  <si>
    <t xml:space="preserve">TORNEIRA PLASTICA DE MESA, BICA MOVEL, PARA COZINHA 1/2 "  </t>
  </si>
  <si>
    <t xml:space="preserve">TORNEIRA PLASTICA PARA TANQUE 1/2 " OU 3/4 " COM BICO PARA MANGUEIRA  </t>
  </si>
  <si>
    <t>ESGUICHO TIPO JATO SOLIDO, EM LATAO, ENGATE RAPIDO 1 1/2" X 16 MM, PARA MANGUEIRA EM INSTALACAO PREDIAL COMBATE A INCENDIO</t>
  </si>
  <si>
    <t>ESGUICHO TIPO JATO SOLIDO, EM LATAO, ENGATE RAPIDO 1 1/2" X 19 MM, PARA MANGUEIRA EM INSTALACAO PREDIAL COMBATE A INCENDIO</t>
  </si>
  <si>
    <t>MANGUEIRA CRISTAL TRANCADA, PVC COM REFORCO, PRESSAO DE TRABALHO (PT) 250 LBS/POL2, DE 1" X *3,4* MM</t>
  </si>
  <si>
    <t>MANGUEIRA CRISTAL TRANCADA, PVC COM REFORCO, COM PRESSAO DE TRABALHO (PT) 250 LBS/POL2, DE 3/4" X *2,8* MM</t>
  </si>
  <si>
    <t xml:space="preserve">MANGUEIRA CRISTAL PARA NIVEL, LISA, PVC TRANSPARENTE, 5/16" X1 MM  </t>
  </si>
  <si>
    <t>MANGUEIRA PARA GAS - GLP, PVC, TRANCADA, DIAMETRO DE 3/8", COMPRIMENTO DE 1M (NORMATIZADA)</t>
  </si>
  <si>
    <t>MANGUEIRA DE PVC FLEXIVEL,TIPO FLAT/ACHATADA, COR LARANJA, D = 1 1/2" (40 MM), PARA CONDUCAO DE AGUA, SERVICOS LEVES E MEDIOS</t>
  </si>
  <si>
    <t xml:space="preserve"> 2.572</t>
  </si>
  <si>
    <t xml:space="preserve">JANELA BASCULANTE, ACO, COM BATENTE/REQUADRO, 60 X 80 CM (SEM VIDROS)  </t>
  </si>
  <si>
    <t>M2</t>
  </si>
  <si>
    <t xml:space="preserve"> 2.573</t>
  </si>
  <si>
    <t xml:space="preserve"> 2.574</t>
  </si>
  <si>
    <t>JANELA DE CORRER, ACO, BATENTE/REQUADRO DE 6 A 14 CM, QUADRICULADA, PINTURA ANTICORROSIVA, SEM VIDRO, BANDEIRA COM BASCULA, 4 FLS, 120  X 150 CM (A X L)</t>
  </si>
  <si>
    <t xml:space="preserve"> 2.575</t>
  </si>
  <si>
    <t xml:space="preserve"> 2.576</t>
  </si>
  <si>
    <t>JANELA DE CORRER, ACO, BATENTE/REQUADRO DE 6 A 14 CM, VENEZIANA, PINT ANTICORROSIVA, PINT ACABAMENTO, COM VIDRO, 6 FLS, 120  X 150 CM (A X L)</t>
  </si>
  <si>
    <t xml:space="preserve"> 2.577</t>
  </si>
  <si>
    <t xml:space="preserve"> 2.578</t>
  </si>
  <si>
    <t xml:space="preserve"> 2.579</t>
  </si>
  <si>
    <t xml:space="preserve"> 2.580</t>
  </si>
  <si>
    <t xml:space="preserve"> 2.581</t>
  </si>
  <si>
    <t xml:space="preserve"> 2.582</t>
  </si>
  <si>
    <t xml:space="preserve"> 2.583</t>
  </si>
  <si>
    <t>JANELA DE CORRER, ACO, COM BATENTE/REQUADRO DE 6 A 14 CM, SEM DIVISAO, PINT ANTICORROSIVA, PINT ACABAMENTO, COM VIDRO, SEM BANDEIRA, 2 FLS, 120  X 150 CM (A X L)</t>
  </si>
  <si>
    <t xml:space="preserve"> 2.584</t>
  </si>
  <si>
    <t xml:space="preserve"> 2.585</t>
  </si>
  <si>
    <t>PUXADOR CONCHA DE EMBUTIR, EM LATAO CROMADO, PARA PORTA / JANELA DE CORRER, LISO, SEM FURO PARA CHAVE, COM FUROS PARA FIXAR PARAFUSOS, *30 X 90* MM (LARGURA X ALTURA)</t>
  </si>
  <si>
    <t xml:space="preserve"> 2.586</t>
  </si>
  <si>
    <t xml:space="preserve"> 2.587</t>
  </si>
  <si>
    <t>JANELA DE CORRER, ACO, BATENTE/REQUADRO DE 6 A 14 CM,  COM DIVISAO HORIZ , PINT ANTICORROSIVA, SEM VIDRO, BANDEIRA COM BASCULA, 4 FLS, 120  X 150 CM (A X L)</t>
  </si>
  <si>
    <t xml:space="preserve"> 2.588</t>
  </si>
  <si>
    <t xml:space="preserve"> 2.589</t>
  </si>
  <si>
    <t xml:space="preserve">BORBOLETA EM LATAO FUNDIDO CROMADO, PARA TRAVAR JANELA TIPO GUILHOTINA  </t>
  </si>
  <si>
    <t>PAR</t>
  </si>
  <si>
    <t xml:space="preserve"> 2.590</t>
  </si>
  <si>
    <t xml:space="preserve"> 2.591</t>
  </si>
  <si>
    <t xml:space="preserve">BORBOLETA EM ZAMAC CROMADO, PARA TRAVAR JANELA TIPO GUILHOTINA  </t>
  </si>
  <si>
    <t xml:space="preserve"> 2.592</t>
  </si>
  <si>
    <t xml:space="preserve"> 2.593</t>
  </si>
  <si>
    <t>CARRANCA PARA JANELA VENEZIANA DE ABRIR, EM LATAO CROMADO, SIMPLES, PARA APARAFUSAR NA PAREDE</t>
  </si>
  <si>
    <t xml:space="preserve"> 2.594</t>
  </si>
  <si>
    <t xml:space="preserve"> 2.595</t>
  </si>
  <si>
    <t>FECHO / FECHADURA COM PUXADOR CONCHA, COM TRANCA TIPO TRAVA, PARA JANELA / PORTA DE CORRER (INCLUI TESTA, FECHADURA, PUXADOR) - COMPLETA</t>
  </si>
  <si>
    <t>CJ</t>
  </si>
  <si>
    <t xml:space="preserve"> 2.596</t>
  </si>
  <si>
    <t>FECHO DE EMBUTIR, TIPO UNHA, COMANDO COM ALAVANCA, EM LATAO CROMADO, 22 CM, PARA PORTAS E JANELAS - INCLUI PARAFUSOS</t>
  </si>
  <si>
    <t xml:space="preserve"> 2.597</t>
  </si>
  <si>
    <t>FECHO DE EMBUTIR, TIPO UNHA, COMANDO COM ALAVANCA, EM LATAO CROMADO, 40 CM, PARA PORTAS E JANELAS - INCLUI PARAFUSOS</t>
  </si>
  <si>
    <t xml:space="preserve"> 2.598</t>
  </si>
  <si>
    <t>FECHO DE SEGURANCA, TIPO BATOM, EM LATAO / ZAMAC, CROMADO, PARA PORTAS E JANELAS - INCLUI PARAFUSOS</t>
  </si>
  <si>
    <t xml:space="preserve"> 2.599</t>
  </si>
  <si>
    <t>FERROLHO / FECHO CHATO, DE SOBREPOR, EM FERRO ZINCADO, REFORCADO, 5", COM PORTA CADEADO, PARA PORTAO, PORTA E JANELA - INCLUI PARAFUSOS</t>
  </si>
  <si>
    <t xml:space="preserve"> 2.600</t>
  </si>
  <si>
    <t xml:space="preserve"> 2.601</t>
  </si>
  <si>
    <t xml:space="preserve">JANELA BASCULANTE EM ALUMINIO, 100 X 100 CM (A X L), ACABAMENTO ACET OU BRILHANTE,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</si>
  <si>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2.602</t>
  </si>
  <si>
    <t xml:space="preserve">JANELA BASCULANTE EM ALUMINIO, 100 X 80 CM (A X L), ACABAMENTO ACET OU BRILHANTE,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</si>
  <si>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2.603</t>
  </si>
  <si>
    <t xml:space="preserve"> 2.604</t>
  </si>
  <si>
    <t xml:space="preserve">JANELA BASCULANTE EM ALUMINIO, 80 X 60 CM (A X L), ACABAMENTO ACET OU BRILHANTE,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</si>
  <si>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2.605</t>
  </si>
  <si>
    <t xml:space="preserve"> 2.606</t>
  </si>
  <si>
    <t xml:space="preserve">JANELA BASCULANTE EM ALUMINIO, 80 X 60 CM (A X L),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</si>
  <si>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2.607</t>
  </si>
  <si>
    <t xml:space="preserve"> 2.608</t>
  </si>
  <si>
    <t>JANELA BASCULANTE EM MADEIRA PINUS/ EUCALIPTO/ TAUARI/ VIROLA OU EQUIVALENTE DA REGIAO, *60 X 60*, CAIXA DO BATENTE/ MARCO E = *10* CM, 2 BASCULAS PARA VIDRO, COM FERRAGENS (SEM VIDRO, SEM GUARNICAO/ALIZAR E SEM ACABAMENTO)</t>
  </si>
  <si>
    <t xml:space="preserve"> 2.609</t>
  </si>
  <si>
    <t xml:space="preserve"> 2.610</t>
  </si>
  <si>
    <t>JANELA BASCULANTE EM MADEIRA PINUS/ EUCALIPTO/ TAUARI/ VIROLA OU EQUIVALENTE DA REGIAO, CAIXA DO BATENTE/ MARCO *10* CM, *2* FOLHAS BASCULANTES PARA VIDRO, COM FERRAGENS (SEM VIDRO, SEM GUARNICAO/ALIZAR E SEM ACABAMENTO)</t>
  </si>
  <si>
    <t xml:space="preserve"> 2.611</t>
  </si>
  <si>
    <t xml:space="preserve"> 2.612</t>
  </si>
  <si>
    <t xml:space="preserve">JANELA BASCULANTE, ACO, COM BATENTE/REQUADRO, 60 X 60 CM (SEM VIDROS)  </t>
  </si>
  <si>
    <t xml:space="preserve"> 2.613</t>
  </si>
  <si>
    <t xml:space="preserve"> 2.614</t>
  </si>
  <si>
    <t>JANELA DE ABRIR EM MADEIRA IMBUIA/CEDRO ARANA/CEDRO ROSA OU EQUIVALENTE DA REGIAO, CAIXA DO BATENTE/MARCO *10* CM, 2 FOLHAS DE ABRIR TIPO VENEZIANA E 2 FOLHAS DE ABRIR PARA VIDRO, COM GUARNICAO/ALIZAR, COM FERRAGENS, (SEM VIDRO E SEM ACABAMENTO)</t>
  </si>
  <si>
    <t xml:space="preserve"> 2.615</t>
  </si>
  <si>
    <t xml:space="preserve"> 2.616</t>
  </si>
  <si>
    <t>JANELA DE ABRIR EM MADEIRA PINUS/EUCALIPTO/ TAUARI/ VIROLA OU EQUIVALENTE DA REGIAO, CAIXA DO BATENTE/MARCO *10* CM, 2 FOLHAS DE ABRIR TIPO VENEZIANA E 2 FOLHAS GUILHOTINA PARA VIDRO, COM FERRAGENS (SEM VIDRO,SEM GUARNICAO/ALIZAR E SEM ACABAMENTO)</t>
  </si>
  <si>
    <t xml:space="preserve"> 2.617</t>
  </si>
  <si>
    <t xml:space="preserve"> 2.618</t>
  </si>
  <si>
    <t xml:space="preserve">JANELA DE CORRER EM ALUMINIO, VENEZIANA, 120  X 150 CM (A X L), 3 FLS (2 VENEZIANAS E 1 VIDRO), SEM BANDEIRA,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</si>
  <si>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2.619</t>
  </si>
  <si>
    <t xml:space="preserve"> 2.620</t>
  </si>
  <si>
    <t xml:space="preserve">JANELA DE CORRER EM ALUMINIO, VENEZIANA, 120 X 120 CM (A X L), 3 FLS (2 VENEZIANAS E 1 VIDRO), SEM BANDEIRA,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</si>
  <si>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2.621</t>
  </si>
  <si>
    <t xml:space="preserve"> 2.622</t>
  </si>
  <si>
    <t xml:space="preserve"> 2.623</t>
  </si>
  <si>
    <t xml:space="preserve"> 2.624</t>
  </si>
  <si>
    <t xml:space="preserve">JANELA DE CORRER EM ALUMINIO, VENEZIANA, 120 X 150 CM (A X L), 6 FLS (4 VENEZIANAS E 2 VIDROS), SEM BANDEIRA,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</si>
  <si>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2.625</t>
  </si>
  <si>
    <t xml:space="preserve"> 2.626</t>
  </si>
  <si>
    <t xml:space="preserve">JANELA DE CORRER EM ALUMINIO, VENEZIANA, 120 X 200 CM (A X L), 6 FLS (4 VENEZIANAS E 2 VIDROS), SEM BANDEIRA, ACABAMENTO ACET OU BRILHANTE, 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</si>
  <si>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2.627</t>
  </si>
  <si>
    <t xml:space="preserve"> 2.628</t>
  </si>
  <si>
    <t>JANELA DE CORRER EM ALUMINIO, 100 X 120 CM (A X L), 2 FLS,  SEM BANDEIRA,  ACABAMENTO ACET OU BRILHANTE, BATENTE/REQUADRO DE 6 A 14 CM, COM VIDRO, SEM GUARNICAO</t>
  </si>
  <si>
    <t xml:space="preserve"> 2.629</t>
  </si>
  <si>
    <t xml:space="preserve"> 2.630</t>
  </si>
  <si>
    <t xml:space="preserve">JANELA DE CORRER EM ALUMINIO, 100 X 150 CM (A X L), 2 FLS,  SEM BANDEIRA, 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</si>
  <si>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2.631</t>
  </si>
  <si>
    <t xml:space="preserve"> 2.632</t>
  </si>
  <si>
    <t xml:space="preserve">JANELA DE CORRER EM ALUMINIO, 100 X 150 CM (A X L), 4 FLS, SEM BANDEIRA,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</si>
  <si>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2.633</t>
  </si>
  <si>
    <t xml:space="preserve"> 2.634</t>
  </si>
  <si>
    <t xml:space="preserve"> 2.635</t>
  </si>
  <si>
    <t xml:space="preserve">JANELA DE CORRER EM ALUMINIO, 100 X 150 CM (A X L), 4 FLS, SEM BANDEIRA, ACABAMENTO ACET OU BRILHANTE, COM VIDRO, COM GUARNICAO PARA 1 FACE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</si>
  <si>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2.636</t>
  </si>
  <si>
    <t xml:space="preserve"> 2.637</t>
  </si>
  <si>
    <t xml:space="preserve">JANELA DE CORRER EM ALUMINIO, 100 X 200 CM, 4 FLS,  BANDEIRA COM BASCULA, 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</si>
  <si>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2.638</t>
  </si>
  <si>
    <t xml:space="preserve"> 2.639</t>
  </si>
  <si>
    <t xml:space="preserve">JANELA DE CORRER EM ALUMINIO, 120 X 120 CM (A X L), 2 FLS, SEM BANDEIRA, ACABAMENTO ACET OU BRILHANTE, 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</si>
  <si>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2.640</t>
  </si>
  <si>
    <t xml:space="preserve"> 2.641</t>
  </si>
  <si>
    <t xml:space="preserve">JANELA DE CORRER EM ALUMINIO, 120 X 150 CM (A X L), 2 FLS, SEM BANDEIRA,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</si>
  <si>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2.642</t>
  </si>
  <si>
    <t xml:space="preserve">JANELA DE CORRER EM ALUMINIO, 120 X 150 CM (A X L), 4 FLS, BANDEIRA COM BASCULA, 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</si>
  <si>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2.643</t>
  </si>
  <si>
    <t xml:space="preserve"> 2.644</t>
  </si>
  <si>
    <t xml:space="preserve">JANELA DE CORRER EM ALUMINIO, 120 X 200 CM (A X L), 4 FLS, BANDEIRA COM BASCULA,  ACABAMENTO ACET OU BRILHANTE, BATENTE/REQUADRO DE 6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</si>
  <si>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2.645</t>
  </si>
  <si>
    <t xml:space="preserve"> 2.646</t>
  </si>
  <si>
    <t>JANELA DE 6 FOLHAS DE CORRER EM MADEIRA CEDRINHO/ ANGELIM COMERCIAL/ CURUPIXA/ CUMARU OU EQUIVALENTE DA REGIAO, CAIXA DO BATENTE/MARCO *10* CM, 2 FOLHAS DE CORRER VENEZIANA, 2 FOLHAS FIXAS VENEZIANA E 2 FOLHAS DE CORRER PARA VIDRO, COM FERRAGENS (SEM VIDRO, SEM ACABAMENTO E SEM GUARNICAO/ALIZAR)</t>
  </si>
  <si>
    <t xml:space="preserve"> 2.647</t>
  </si>
  <si>
    <t xml:space="preserve"> 2.648</t>
  </si>
  <si>
    <t>JANELA DE 6 FOLHAS DE CORRER EM MADEIRA IMBUIA/CEDRO ARANA/CEDRO ROSA OU EQUIVALENTE DA REGIAO, CAIXA DO BATENTE/MARCO *10* CM, 2 FOLHAS DE CORRER VENEZIANA, 2 FOLHAS FIXAS VENEZIANA E 2 FOLHAS DE CORRER PARA VIDRO, COM FERRAGENS (SEM VIDRO, SEM ACABAMENTO E SEM GUARNICAO/ALIZAR)</t>
  </si>
  <si>
    <t xml:space="preserve"> 2.649</t>
  </si>
  <si>
    <t xml:space="preserve"> 2.650</t>
  </si>
  <si>
    <t>JANELA DE 6 FOLHAS DE CORRER EM MADEIRA PINUS/ EUCALIPTO/ TAUARI/ VIROLA OU  EQUIVALENTE DA REGIAO, CAIXA DO BATENTE/MARCO *10* CM, 2 FOLHAS DE CORRER VENEZIANA, 2 FOLHAS FIXAS VENEZIANA E 2 FOLHAS DE CORRER PARA VIDRO, COM FERRAGENS (SEM VIDRO, SEM ACABAMENTO E SEM GUARNICAO/ALIZAR)</t>
  </si>
  <si>
    <t xml:space="preserve"> 2.651</t>
  </si>
  <si>
    <t xml:space="preserve"> 2.652</t>
  </si>
  <si>
    <t>JANELA EM MADEIRA CEDRINHO/ ANGELIM COMERCIAL/ CURUPIXA/ CUMARU OU EQUIVALENTE DA REGIAO, CAIXA DO BATENTE/MARCO *10* CM, 2 FOLHAS DE ABRIR TIPO VENEZIANA E 2 FOLHAS GUILHOTINA PARA VIDRO, COM GUARNICAO/ALIZAR, COM FERRAGENS (SEM VIDRO E SEM ACABAMENTO)</t>
  </si>
  <si>
    <t xml:space="preserve"> 2.653</t>
  </si>
  <si>
    <t xml:space="preserve"> 2.654</t>
  </si>
  <si>
    <t xml:space="preserve">JANELA FIXA EM ALUMINIO, 60  X 80 CM (A X L),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</si>
  <si>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2.655</t>
  </si>
  <si>
    <t xml:space="preserve"> 2.656</t>
  </si>
  <si>
    <t xml:space="preserve">JANELA FIXA EM ALUMINIO, 60 X 80 CM (A X L), BATENTE/REQUADRO DE 3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</si>
  <si>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2.657</t>
  </si>
  <si>
    <t xml:space="preserve"> 2.658</t>
  </si>
  <si>
    <t xml:space="preserve"> 2.659</t>
  </si>
  <si>
    <t xml:space="preserve">JANELA MAXIM AR EM ALUMINIO, 80 X 60 CM (A X L), BATENTE/REQUADRO DE 4 A 14 CM, COM VIDRO, SEM GUARNICAO/ALIZAR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</si>
  <si>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2.660</t>
  </si>
  <si>
    <t xml:space="preserve"> 2.661</t>
  </si>
  <si>
    <t xml:space="preserve"> 2.662</t>
  </si>
  <si>
    <t xml:space="preserve"> 2.663</t>
  </si>
  <si>
    <t>TRINCO / FECHO TIPO AVIAO, EM ZAMAC CROMADO, *60* MM, PARA JANELAS - INCLUI PARAFUSOS</t>
  </si>
  <si>
    <t xml:space="preserve"> 2.664</t>
  </si>
  <si>
    <t xml:space="preserve"> 3.1</t>
  </si>
  <si>
    <t xml:space="preserve">MEIO-FIO OU GUIA DE CONCRETO, PRE-MOLDADO, COMP 1 M, *30 X 15* CM (H X L)  </t>
  </si>
  <si>
    <t xml:space="preserve"> 3.2</t>
  </si>
  <si>
    <t xml:space="preserve"> 3.3</t>
  </si>
  <si>
    <t xml:space="preserve">MEIO-FIO OU GUIA DE CONCRETO, PRE-MOLDADO, COMP 1 M, *30 X 15/ 12* CM (H X L1/L2)  </t>
  </si>
  <si>
    <t xml:space="preserve"> 3.4</t>
  </si>
  <si>
    <t xml:space="preserve"> 3.5</t>
  </si>
  <si>
    <t xml:space="preserve">MEIO-FIO OU GUIA DE CONCRETO, PRE-MOLDADO, COMP 80 CM, *45 X 18 /12* CM (H X L1/L2)  </t>
  </si>
  <si>
    <t xml:space="preserve"> 3.6</t>
  </si>
  <si>
    <t xml:space="preserve"> 3.7</t>
  </si>
  <si>
    <t>MOURAO CONCRETO CURVO, SECAO "T", H = 2,80 M + CURVA COM 0,45 M, COM FUROS PARA FIOS</t>
  </si>
  <si>
    <t xml:space="preserve"> 3.8</t>
  </si>
  <si>
    <t xml:space="preserve"> 3.9</t>
  </si>
  <si>
    <t>SOLDA ESTANHO/COBRE PARA CONEXOES DE COBRE, FIO 2,5 MM, CARRETEL 500 GR (SEM CHUMBO)</t>
  </si>
  <si>
    <t xml:space="preserve"> 3.10</t>
  </si>
  <si>
    <t xml:space="preserve"> 3.11</t>
  </si>
  <si>
    <t>TELA ARAME GALVANIZADO REVESTIDO COM POLIMERO, MALHA HEXAGONAL DUPLA TORCAO, 8 X 10 CM (ZN/AL REVESTIDO COM POLIMERO), FIO *2,4* MM</t>
  </si>
  <si>
    <t xml:space="preserve"> 3.12</t>
  </si>
  <si>
    <t xml:space="preserve"> 3.13</t>
  </si>
  <si>
    <t>TELA DE ACO SOLDADA GALVANIZADA/ZINCADA PARA ALVENARIA, FIO  D = *1,20 A 1,70* MM, MALHA 15 X 15 MM, (C X L) *50 X 12* CM</t>
  </si>
  <si>
    <t xml:space="preserve"> 3.14</t>
  </si>
  <si>
    <t xml:space="preserve"> 3.15</t>
  </si>
  <si>
    <t>TELA DE ACO SOLDADA GALVANIZADA/ZINCADA PARA ALVENARIA, FIO  D = *1,20 A 1,70* MM, MALHA 15 X 15 MM, (C X L) *50 X 17,5* CM</t>
  </si>
  <si>
    <t xml:space="preserve"> 3.16</t>
  </si>
  <si>
    <t xml:space="preserve"> 3.17</t>
  </si>
  <si>
    <t>TELA DE ACO SOLDADA GALVANIZADA/ZINCADA PARA ALVENARIA, FIO D = *1,20 A 1,70* MM, MALHA 15 X 15 MM, (C X L) *50 X 10,5* CM</t>
  </si>
  <si>
    <t xml:space="preserve"> 3.18</t>
  </si>
  <si>
    <t xml:space="preserve"> 3.19</t>
  </si>
  <si>
    <t>TELA DE ACO SOLDADA GALVANIZADA/ZINCADA PARA ALVENARIA, FIO D = *1,20 A 1,70* MM, MALHA 15 X 15 MM, (C X L) *50 X 6* CM</t>
  </si>
  <si>
    <t xml:space="preserve"> 3.20</t>
  </si>
  <si>
    <t xml:space="preserve"> 3.21</t>
  </si>
  <si>
    <t>TELA DE ACO SOLDADA GALVANIZADA/ZINCADA PARA ALVENARIA, FIO D = *1,20 A 1,70* MM, MALHA 15 X 15 MM, (C X L) *50 X 7,5* CM</t>
  </si>
  <si>
    <t xml:space="preserve"> 3.22</t>
  </si>
  <si>
    <t xml:space="preserve"> 3.23</t>
  </si>
  <si>
    <t>TELA DE ACO SOLDADA GALVANIZADA/ZINCADA PARA ALVENARIA, FIO  D = *1,24 MM, MALHA 25 X 25 MM</t>
  </si>
  <si>
    <t xml:space="preserve"> 3.24</t>
  </si>
  <si>
    <t xml:space="preserve"> 3.25</t>
  </si>
  <si>
    <t>TELA DE ACO SOLDADA NERVURADA, CA-60, L-159, (1,69 KG/M2), DIAMETRO DO FIO = 4,5 MM, LARGURA =  2,45 M, ESPACAMENTO DA MALHA = 30 X 10 CM</t>
  </si>
  <si>
    <t xml:space="preserve"> 3.26</t>
  </si>
  <si>
    <t xml:space="preserve"> 3.27</t>
  </si>
  <si>
    <t>TELA DE ARAME GALV QUADRANGULAR / LOSANGULAR,  FIO 2,11 MM (14 BWG), MALHA  5 X 5 CM, H = 2 M</t>
  </si>
  <si>
    <t xml:space="preserve"> 3.28</t>
  </si>
  <si>
    <t xml:space="preserve"> 3.29</t>
  </si>
  <si>
    <t>TELA DE ARAME GALV QUADRANGULAR / LOSANGULAR,  FIO 2,11 MM (14  BWG), MALHA  8 X 8 CM, H = 2 M</t>
  </si>
  <si>
    <t xml:space="preserve"> 3.30</t>
  </si>
  <si>
    <t xml:space="preserve"> 3.31</t>
  </si>
  <si>
    <t>TELA DE ARAME GALV QUADRANGULAR / LOSANGULAR,  FIO 2,77 MM (12  BWG), MALHA  10 X 10 CM, H = 2 M</t>
  </si>
  <si>
    <t xml:space="preserve"> 3.32</t>
  </si>
  <si>
    <t xml:space="preserve"> 3.33</t>
  </si>
  <si>
    <t>TELA DE ARAME GALV QUADRANGULAR / LOSANGULAR,  FIO 2,77 MM (12 BWG), MALHA  5 X 5 CM, H = 2 M</t>
  </si>
  <si>
    <t xml:space="preserve"> 3.34</t>
  </si>
  <si>
    <t xml:space="preserve"> 3.35</t>
  </si>
  <si>
    <t>TELA DE ARAME GALV QUADRANGULAR / LOSANGULAR,  FIO 2,77 MM (12  BWG), MALHA  8 X 8 CM, H = 2 M</t>
  </si>
  <si>
    <t xml:space="preserve"> 3.36</t>
  </si>
  <si>
    <t xml:space="preserve"> 3.37</t>
  </si>
  <si>
    <t>TELA DE ARAME GALV QUADRANGULAR / LOSANGULAR,  FIO 3,4 MM (10  BWG), MALHA  5 X 5 CM, H = 2 M</t>
  </si>
  <si>
    <t xml:space="preserve"> 3.38</t>
  </si>
  <si>
    <t xml:space="preserve"> 3.39</t>
  </si>
  <si>
    <t>TELA DE ARAME GALV QUADRANGULAR / LOSANGULAR,  FIO 4,19 MM (8 BWG), MALHA  5 X 5 CM, H = 2 M</t>
  </si>
  <si>
    <t xml:space="preserve"> 3.40</t>
  </si>
  <si>
    <t xml:space="preserve"> 3.41</t>
  </si>
  <si>
    <t>TELA DE ARAME GALV REVESTIDO EM PVC, QUADRANGULAR / LOSANGULAR,  FIO 2,11 MM (14 BWG), BITOLA FINAL = *2,8* MM, MALHA  *8 X 8* CM, H = 2 M</t>
  </si>
  <si>
    <t xml:space="preserve"> 3.42</t>
  </si>
  <si>
    <t xml:space="preserve"> 3.43</t>
  </si>
  <si>
    <t>TELA DE ARAME GALV REVESTIDO EM PVC, QUADRANGULAR / LOSANGULAR,  FIO 2,77 MM (12 BWG), BITOLA FINAL = *3,8* MM, MALHA  7,5 X 7,5 CM, H = 2 M</t>
  </si>
  <si>
    <t xml:space="preserve">TELA DE ARAME GALV, HEXAGONAL,  FIO 0,56 MM (24  BWG), MALHA  1/2", H = 1 M  </t>
  </si>
  <si>
    <t>TELA DE ARAME ONDULADA, FIO *2,77* MM (12 BWG), MALHA 5 X 5 CM, H = 2 M</t>
  </si>
  <si>
    <t xml:space="preserve">ADITIVO ADESIVO LIQUIDO PARA ARGAMASSAS DE REVESTIMENTOS CIMENTICIOS  </t>
  </si>
  <si>
    <t>L</t>
  </si>
  <si>
    <t>ARGAMASSA INDUSTRIALIZADA MULTIUSO, PARA REVESTIMENTO INTERNO E EXTERNO E ASSENTAMENTO DE BLOCOS DIVERSOS</t>
  </si>
  <si>
    <t xml:space="preserve">ARGAMASSA PRONTA PARA REVESTIMENTO INTERNO EM PAREDES  </t>
  </si>
  <si>
    <t>GESSO EM PO PARA REVESTIMENTOS/MOLDURAS/SANCAS</t>
  </si>
  <si>
    <t xml:space="preserve">PAINEL DE LA DE VIDRO SEM REVESTIMENTO PSI 20, E = 50 MM, DE 1200 X 600 MM  </t>
  </si>
  <si>
    <t xml:space="preserve">PREGO DE ACO POLIDO COM CABECA DUPLA 17 X 27 (2 1/2 X 11)  </t>
  </si>
  <si>
    <t xml:space="preserve">PREGO DE ACO POLIDO COM CABECA 10 X 10 (7/8 X 17)  </t>
  </si>
  <si>
    <t xml:space="preserve">PREGO DE ACO POLIDO COM CABECA 10 X 11 (1 X 17)  </t>
  </si>
  <si>
    <t xml:space="preserve">PREGO DE ACO POLIDO COM CABECA 12 X 12  </t>
  </si>
  <si>
    <t xml:space="preserve">PREGO DE ACO POLIDO COM CABECA 14 X 18 (1 1/2 X 14)  </t>
  </si>
  <si>
    <t xml:space="preserve">PREGO DE ACO POLIDO COM CABECA 15 X 18 (1 1/2 X 13)  </t>
  </si>
  <si>
    <t xml:space="preserve">PREGO DE ACO POLIDO COM CABECA 16 X 24 (2 1/4 X 12)  </t>
  </si>
  <si>
    <t xml:space="preserve">PREGO DE ACO POLIDO COM CABECA 16 X 27 (2 1/2 X 12)  </t>
  </si>
  <si>
    <t xml:space="preserve">PREGO DE ACO POLIDO COM CABECA 18 X 24 (2 1/4 X 10)  </t>
  </si>
  <si>
    <t xml:space="preserve">PREGO DE ACO POLIDO COM CABECA 18 X 27 (2 1/2 X 10)  </t>
  </si>
  <si>
    <t xml:space="preserve">PREGO DE ACO POLIDO COM CABECA 18 X 30 (2 3/4 X 10)  </t>
  </si>
  <si>
    <t xml:space="preserve">PREGO DE ACO POLIDO COM CABECA 19  X 36 (3 1/4  X  9)  </t>
  </si>
  <si>
    <t xml:space="preserve">PREGO DE ACO POLIDO COM CABECA 22 X 48 (4 1/4 X 5)  </t>
  </si>
  <si>
    <t xml:space="preserve">PREGO DE ACO POLIDO SEM CABECA 15 X 15 (1 1/4 X 13)  </t>
  </si>
  <si>
    <t>ROLDANA PLASTICA COM PREGO, TAMANHO 30 X 30 MM, PARA INSTALACAO ELETRICA APARENTE</t>
  </si>
  <si>
    <t>DOBRADICA EM ACO/FERRO, 3" X 2 1/2", E= 1,2 A 1,8 MM, SEM ANEL,  CROMADO OU ZINCADO, TAMPA BOLA, COM PARAFUSOS</t>
  </si>
  <si>
    <t>ABRACADEIRA EM ACO PARA AMARRACAO DE ELETRODUTOS, TIPO D, COM 1 1/2" E PARAFUSO DE FIXACAO</t>
  </si>
  <si>
    <t>ABRACADEIRA EM ACO PARA AMARRACAO DE ELETRODUTOS, TIPO D, COM 1 1/4" E PARAFUSO DE FIXACAO</t>
  </si>
  <si>
    <t>ABRACADEIRA EM ACO PARA AMARRACAO DE ELETRODUTOS, TIPO D, COM 1/2" E PARAFUSO DE FIXACAO</t>
  </si>
  <si>
    <t>ABRACADEIRA EM ACO PARA AMARRACAO DE ELETRODUTOS, TIPO D, COM 1" E PARAFUSO DE FIXACAO</t>
  </si>
  <si>
    <t>ABRACADEIRA EM ACO PARA AMARRACAO DE ELETRODUTOS, TIPO D, COM 2" E PARAFUSO DE FIXACAO</t>
  </si>
  <si>
    <t>ABRACADEIRA EM ACO PARA AMARRACAO DE ELETRODUTOS, TIPO D, COM 3/8" E PARAFUSO DE FIXACAO</t>
  </si>
  <si>
    <t>ABRACADEIRA, GALVANIZADA/ZINCADA, ROSCA SEM FIM, PARAFUSO INOX, LARGURA  FITA *12,6 A *14 MM, D = 2" A 2 1/2"</t>
  </si>
  <si>
    <t>BUCHA DE NYLON SEM ABA S10, COM PARAFUSO DE 6,10 X 65 MM EM ACO ZINCADO COM ROSCA SOBERBA, CABECA CHATA E FENDA PHILLIPS</t>
  </si>
  <si>
    <t>BUCHA DE NYLON SEM ABA S12, COM PARAFUSO DE 5/16" X 80 MM EM ACO ZINCADO COM ROSCA SOBERBA E CABECA SEXTAVADA</t>
  </si>
  <si>
    <t>BUCHA DE NYLON SEM ABA S6, COM PARAFUSO DE 4,20 X 40 MM EM ACO ZINCADO COM ROSCA SOBERBA, CABECA CHATA E FENDA PHILLIPS</t>
  </si>
  <si>
    <t>BUCHA DE NYLON SEM ABA S8, COM PARAFUSO DE 4,80 X 50 MM EM ACO ZINCADO COM ROSCA SOBERBA, CABECA CHATA E FENDA PHILLIPS</t>
  </si>
  <si>
    <t>BUCHA DE NYLON, DIAMETRO DO FURO 8 MM, COMPRIMENTO 40 MM, COM PARAFUSO DE ROSCA SOBERBA, CABECA CHATA, FENDA SIMPLES, 4,8 X 50 MM</t>
  </si>
  <si>
    <t>CINTA CIRCULAR EM ACO GALVANIZADO DE 150 MM DE DIAMETRO PARA FIXACAO DE CAIXA MEDICAO, INCLUI PARAFUSOS E PORCAS</t>
  </si>
  <si>
    <t>CONECTOR METALICO TIPO PARAFUSO FENDIDO (SPLIT BOLT), COM SEPARADOR DE CABOS BIMETALICOS, PARA CABOS ATE 25 MM2</t>
  </si>
  <si>
    <t>CONECTOR METALICO TIPO PARAFUSO FENDIDO (SPLIT BOLT), COM SEPARADOR DE CABOS BIMETALICOS, PARA CABOS ATE 50 MM2</t>
  </si>
  <si>
    <t>DOBRADICA EM ACO/FERRO, 3 1/2" X  3", E= 1,9  A 2 MM, COM ANEL,  CROMADO OU ZINCADO, TAMPA BOLA, COM PARAFUSOS</t>
  </si>
  <si>
    <t>DOBRADICA EM ACO/FERRO, 3" X 2 1/2", E= 1,2 A 1,8 MM, SEM ANEL,  CROMADO OU ZINCADO, TAMPA CHATA, COM PARAFUSOS</t>
  </si>
  <si>
    <t>DOBRADICA EM ACO/FERRO, 3" X 2 1/2", E= 1,9 A 2 MM, SEM ANEL,  CROMADO OU ZINCADO, TAMPA BOLA, COM PARAFUSOS</t>
  </si>
  <si>
    <t>DOBRADICA EM LATAO, 3 " X 2 1/2 ", E= 1,9 A 2 MM, COM ANEL, CROMADO, TAMPA BOLA, COM PARAFUSOS</t>
  </si>
  <si>
    <t xml:space="preserve">DOBRADICA TIPO VAI-E-VEM EM ACO/FERRO, TAMANHO 3'', GALVANIZADO, COM PARAFUSOS  </t>
  </si>
  <si>
    <t>FERROLHO / FECHO CHATO, DE SOBREPOR, EM FERRO ZINCADO, REFORCADO, 6", COM PORTA CADEADO, PARA PORTAO, PORTA E JANELA - INCLUI PARAFUSOS</t>
  </si>
  <si>
    <t>FERROLHO / FECHO CHATO, EM FERRO ZINCADO, LEVE, 3", COM PORTA CADEADO, PARA PORTAO, PORTA E JANELA - INCLUI PARAFUSOS</t>
  </si>
  <si>
    <t>PARAFUSO DE ACO ZINCADO COM ROSCA SOBERBA, CABECA CHATA E FENDA SIMPLES, DIAMETRO 2,5 MM, COMPRIMENTO * 9,5 * MM</t>
  </si>
  <si>
    <t>PARAFUSO DE ACO ZINCADO COM ROSCA SOBERBA, CABECA CHATA E FENDA SIMPLES, DIAMETRO 4,2 MM, COMPRIMENTO * 32 * MM</t>
  </si>
  <si>
    <t>PARAFUSO DE ACO ZINCADO COM ROSCA SOBERBA, CABECA CHATA E FENDA SIMPLES, DIAMETRO 4,8 MM, COMPRIMENTO 45 MM</t>
  </si>
  <si>
    <t>PARAFUSO DE FERRO POLIDO, SEXTAVADO, COM ROSCA INTEIRA, DIAMETRO 5/16", COMPRIMENTO 3/4", COM PORCA E ARRUELA LISA LEVE</t>
  </si>
  <si>
    <t>PARAFUSO DE FERRO POLIDO, SEXTAVADO, COM ROSCA PARCIAL, DIAMETRO 5/8", COMPRIMENTO 6", COM PORCA E ARRUELA DE PRESSAO MEDIA</t>
  </si>
  <si>
    <t>PARAFUSO DE LATAO COM ACABAMENTO CROMADO PARA FIXAR PECA SANITARIA, INCLUI PORCA CEGA, ARRUELA E BUCHA DE NYLON TAMANHO S-10</t>
  </si>
  <si>
    <t>PARAFUSO DE LATAO COM ROSCA SOBERBA, CABECA CHATA E FENDA SIMPLES, DIAMETRO 2,5 MM, COMPRIMENTO 12 MM</t>
  </si>
  <si>
    <t>PARAFUSO DE LATAO COM ROSCA SOBERBA, CABECA CHATA E FENDA SIMPLES, DIAMETRO 3,2 MM, COMPRIMENTO 16 MM</t>
  </si>
  <si>
    <t>PARAFUSO DE LATAO COM ROSCA SOBERBA, CABECA CHATA E FENDA SIMPLES, DIAMETRO 4,8 MM, COMPRIMENTO 65 MM</t>
  </si>
  <si>
    <t>PARAFUSO DRY WALL, EM ACO FOSFATIZADO, CABECA TROMBETA E PONTA AGULHA (TA), COMPRIMENTO 25 MM</t>
  </si>
  <si>
    <t>PARAFUSO DRY WALL, EM ACO FOSFATIZADO, CABECA TROMBETA E PONTA AGULHA (TA), COMPRIMENTO 35 MM</t>
  </si>
  <si>
    <t>PARAFUSO DRY WALL, EM ACO FOSFATIZADO, CABECA TROMBETA E PONTA AGULHA (TA), COMPRIMENTO 45 MM</t>
  </si>
  <si>
    <t>PARAFUSO DRY WALL, EM ACO FOSFATIZADO, CABECA TROMBETA E PONTA BROCA (TB), COMPRIMENTO 25 MM</t>
  </si>
  <si>
    <t>PARAFUSO DRY WALL, EM ACO FOSFATIZADO, CABECA TROMBETA E PONTA BROCA (TB), COMPRIMENTO 35 MM</t>
  </si>
  <si>
    <t>PARAFUSO DRY WALL, EM ACO FOSFATIZADO, CABECA TROMBETA E PONTA BROCA (TB), COMPRIMENTO 45 MM</t>
  </si>
  <si>
    <t>PARAFUSO DRY WALL, EM ACO ZINCADO, CABECA LENTILHA E PONTA AGULHA (LA), LARGURA 4,2 MM, COMPRIMENTO 13 MM</t>
  </si>
  <si>
    <t>PARAFUSO EM ACO GALVANIZADO, TIPO MAQUINA, SEXTAVADO, SEM PORCA, DIAMETRO 1/2", COMPRIMENTO 2"</t>
  </si>
  <si>
    <t>PARAFUSO FRANCES METRICO ZINCADO, DIAMETRO 12 MM, COMPRIMENTO 140MM, COM PORCA SEXTAVADA E ARRUELA DE PRESSAO MEDIA</t>
  </si>
  <si>
    <t>PARAFUSO FRANCES METRICO ZINCADO, DIAMETRO 12 MM, COMPRIMENTO 150 MM, COM PORCA SEXTAVADA E ARRUELA DE PRESSAO MEDIA</t>
  </si>
  <si>
    <t>PARAFUSO FRANCES M16 EM ACO GALVANIZADO, COMPRIMENTO = 150 MM, DIAMETRO = 16 MM, CABECA ABAULADA</t>
  </si>
  <si>
    <t>PARAFUSO FRANCES M16 EM ACO GALVANIZADO, COMPRIMENTO = 45 MM, DIAMETRO = 16 MM, CABECA ABAULADA</t>
  </si>
  <si>
    <t xml:space="preserve">PARAFUSO FRANCES ZINCADO, DIAMETRO 1/2'', COMPRIMENTO 2'', COM PORCA E ARRUELA  </t>
  </si>
  <si>
    <t>PARAFUSO FRANCES ZINCADO, DIAMETRO 1/2", COMPRIMENTO 12", COM PORCA E ARRUELA LISA MEDIA</t>
  </si>
  <si>
    <t>PARAFUSO M16 EM ACO GALVANIZADO, COMPRIMENTO = 125 MM, DIAMETRO = 16 MM, ROSCA MAQUINA, CABECA QUADRADA</t>
  </si>
  <si>
    <t>PARAFUSO M16 EM ACO GALVANIZADO, COMPRIMENTO = 150 MM, DIAMETRO = 16 MM, ROSCA MAQUINA, CABECA QUADRADA</t>
  </si>
  <si>
    <t>PARAFUSO M16 EM ACO GALVANIZADO, COMPRIMENTO = 200 MM, DIAMETRO = 16 MM, ROSCA MAQUINA, CABECA QUADRADA</t>
  </si>
  <si>
    <t>PARAFUSO M16 EM ACO GALVANIZADO, COMPRIMENTO = 250 MM, DIAMETRO = 16 MM, ROSCA MAQUINA, CABECA QUADRADA</t>
  </si>
  <si>
    <t>PARAFUSO M16 EM ACO GALVANIZADO, COMPRIMENTO = 300 MM, DIAMETRO = 16 MM, ROSCA DUPLA</t>
  </si>
  <si>
    <t>PARAFUSO M16 EM ACO GALVANIZADO, COMPRIMENTO = 300 MM, DIAMETRO = 16 MM, ROSCA MAQUINA, CABECA QUADRADA</t>
  </si>
  <si>
    <t>PARAFUSO M16 EM ACO GALVANIZADO, COMPRIMENTO = 350 MM, DIAMETRO = 16 MM, ROSCA MAQUINA, CABECA QUADRADA</t>
  </si>
  <si>
    <t>PARAFUSO M16 EM ACO GALVANIZADO, COMPRIMENTO = 400 MM, DIAMETRO = 16 MM, ROSCA DUPLA</t>
  </si>
  <si>
    <t>PARAFUSO M16 EM ACO GALVANIZADO, COMPRIMENTO = 450 MM, DIAMETRO = 16 MM, ROSCA MAQUINA, CABECA QUADRADA</t>
  </si>
  <si>
    <t>PARAFUSO M16 EM ACO GALVANIZADO, COMPRIMENTO = 500 MM, DIAMETRO = 16 MM, ROSCA MAQUINA, COM CABECA SEXTAVADA E PORCA</t>
  </si>
  <si>
    <t>PARAFUSO NIQUELADO COM ACABAMENTO CROMADO PARA FIXAR PECA SANITARIA, INCLUI PORCA CEGA, ARRUELA E BUCHA DE NYLON TAMANHO S-10</t>
  </si>
  <si>
    <t>PARAFUSO NIQUELADO 3 1/2" COM ACABAMENTO CROMADO PARA FIXAR PECA SANITARIA, INCLUI PORCA CEGA, ARRUELA E BUCHA DE NYLON TAMANHO S-8</t>
  </si>
  <si>
    <t xml:space="preserve">PARAFUSO ROSCA SOBERBA ZINCADO CABECA CHATA FENDA SIMPLES 3,2 X 20 MM (3/4 ")  </t>
  </si>
  <si>
    <t xml:space="preserve">PARAFUSO ROSCA SOBERBA ZINCADO CABECA CHATA FENDA SIMPLES 3,5 X 25 MM (1 ")  </t>
  </si>
  <si>
    <t xml:space="preserve">PARAFUSO ROSCA SOBERBA ZINCADO CABECA CHATA FENDA SIMPLES 3,8 X 30 MM (1.1/4 ")  </t>
  </si>
  <si>
    <t xml:space="preserve">PARAFUSO ROSCA SOBERBA ZINCADO CABECA CHATA FENDA SIMPLES 4,8 X 40 MM (1.1/2 ")  </t>
  </si>
  <si>
    <t xml:space="preserve">PARAFUSO ROSCA SOBERBA ZINCADO CABECA CHATA FENDA SIMPLES 5,5 X 50 MM (2 ")  </t>
  </si>
  <si>
    <t xml:space="preserve">PARAFUSO ROSCA SOBERBA ZINCADO CABECA CHATA FENDA SIMPLES 5,5 X 65 MM (2.1/2 ")  </t>
  </si>
  <si>
    <t xml:space="preserve">PARAFUSO ZINCADO ROSCA SOBERBA 5/16 " X 120 MM PARA TELHA FIBROCIMENTO  </t>
  </si>
  <si>
    <t>PARAFUSO ZINCADO ROSCA SOBERBA, CABECA SEXTAVADA, 5/16 " X 110 MM, PARA FIXACAO DE TELHA EM MADEIRA</t>
  </si>
  <si>
    <t>PARAFUSO ZINCADO ROSCA SOBERBA, CABECA SEXTAVADA, 5/16 " X 150 MM, PARA FIXACAO DE TELHA EM MADEIRA</t>
  </si>
  <si>
    <t>PARAFUSO ZINCADO ROSCA SOBERBA, CABECA SEXTAVADA, 5/16 " X 180 MM, PARA FIXACAO DE TELHA EM MADEIRA</t>
  </si>
  <si>
    <t>PARAFUSO ZINCADO ROSCA SOBERBA, CABECA SEXTAVADA, 5/16 " X 200 MM, PARA FIXACAO DE TELHA EM MADEIRA</t>
  </si>
  <si>
    <t>PARAFUSO ZINCADO ROSCA SOBERBA, CABECA SEXTAVADA, 5/16 " X 230 MM, PARA FIXACAO DE TELHA EM MADEIRA</t>
  </si>
  <si>
    <t>PARAFUSO ZINCADO ROSCA SOBERBA, CABECA SEXTAVADA, 5/16 " X 250 MM, PARA FIXACAO DE TELHA EM MADEIRA</t>
  </si>
  <si>
    <t>PARAFUSO ZINCADO ROSCA SOBERBA, CABECA SEXTAVADA, 5/16 " X 50 MM, PARA FIXACAO DE TELHA EM MADEIRA</t>
  </si>
  <si>
    <t>PARAFUSO ZINCADO ROSCA SOBERBA, CABECA SEXTAVADA, 5/16 " X 85 MM, PARA FIXACAO DE TELHA EM MADEIRA</t>
  </si>
  <si>
    <t>PARAFUSO ZINCADO 5/16 " X 250 MM PARA FIXACAO DE TELHA DE FIBROCIMENTO CANALETE 49, INCLUI BUCHA NYLON S-10</t>
  </si>
  <si>
    <t>PARAFUSO ZINCADO 5/16 " X 85 MM PARA FIXACAO DE TELHA DE FIBROCIMENTO CANALETE 90, INCLUI BUCHA NYLON S-10</t>
  </si>
  <si>
    <t>PARAFUSO ZINCADO, AUTOBROCANTE, FLANGEADO, 4,2 MM X 19 MM</t>
  </si>
  <si>
    <t>CENTO</t>
  </si>
  <si>
    <t xml:space="preserve">PARAFUSO ZINCADO, SEXTAVADO, COM ROSCA INTEIRA, DIAMETRO 1/4", COMPRIMENTO 1/2"  </t>
  </si>
  <si>
    <t xml:space="preserve">PARAFUSO ZINCADO, SEXTAVADO, COM ROSCA INTEIRA, DIAMETRO 3/8", COMPRIMENTO 2"  </t>
  </si>
  <si>
    <t>PARAFUSO ZINCADO, SEXTAVADO, COM ROSCA INTEIRA, DIAMETRO 5/8", COMPRIMENTO 2 1/4"</t>
  </si>
  <si>
    <t>PARAFUSO ZINCADO, SEXTAVADO, COM ROSCA INTEIRA, DIAMETRO 5/8", COMPRIMENTO 3", COM PORCA E ARRUELA DE PRESSAO MEDIA</t>
  </si>
  <si>
    <t>PARAFUSO ZINCADO, SEXTAVADO, COM ROSCA SOBERBA, DIAMETRO 3/8", COMPRIMENTO 80 MM</t>
  </si>
  <si>
    <t>PARAFUSO ZINCADO, SEXTAVADO, COM ROSCA SOBERBA, DIAMETRO 5/16", COMPRIMENTO 40 MM</t>
  </si>
  <si>
    <t>PARAFUSO ZINCADO, SEXTAVADO, COM ROSCA SOBERBA, DIAMETRO 5/16", COMPRIMENTO 80 MM</t>
  </si>
  <si>
    <t>PARAFUSO ZINCADO, SEXTAVADO, GRAU 5, ROSCA INTEIRA, DIAMETRO 1 1/2", COMPRIMENTO 4"</t>
  </si>
  <si>
    <t>PARAFUSO, ASTM A307 - GRAU A, SEXTAVADO, ZINCADO, DIAMETRO 3/8" (9,52 MM), COMPRIMENTO 1 " (25,4 MM)</t>
  </si>
  <si>
    <t>PARAFUSO, AUTO ATARRACHANTE, CABECA CHATA, FENDA SIMPLES, 1/4 (6,35 MM) X 25 MM</t>
  </si>
  <si>
    <t>PARAFUSO, COMUM, ASTM A307, SEXTAVADO, DIAMETRO 1/2" (12,7 MM), COMPRIMENTO 1" (25,4 MM)</t>
  </si>
  <si>
    <t>PUXADOR CENTRAL, TIPO ALCA, EM ZAMAC CROMADO, COM ROSETAS, COMPRIMENTO *100* MM, PARA PORTA / JANELA EM MADEIRA OU METALICA - INCLUI PARAFUSOS</t>
  </si>
  <si>
    <t>PUXADOR CONCHA DE EMBUTIR PARA JANELA / PORTA DE CORRER, EM LATAO CROMADO, COM FURO CENTRAL PARA CHAVE E FUROS PARA PARAFUSOS, *40 X 100* MM  (LARGURA X ALTURA) - SEM FECHADURA</t>
  </si>
  <si>
    <t>ROSETA QUADRADA, SEM FUROS, EM ACO INOX POLIDO, LARGURA APROXIMADA DE 50 MM, PARA FECHADURA DE PORTA - PARAFUSOS INCLUIDOS</t>
  </si>
  <si>
    <t xml:space="preserve">AFASTADOR PARA TELHA DE FIBROCIMENTO CANALETE 90 OU KALHETAO  </t>
  </si>
  <si>
    <t>CONJUNTO ARRUELAS DE VEDACAO 5/16" PARA TELHA FIBROCIMENTO (UMA ARRUELA METALICA E UMA ARRUELA PVC - CONICAS)</t>
  </si>
  <si>
    <t>CUMEEIRA ARTICULADA (ABA INFERIOR) PARA TELHA ONDULADA DE FIBROCIMENTO E = 4 MM, ABA *330* MM, COMPRIMENTO 500 MM (SEM AMIANTO)</t>
  </si>
  <si>
    <t>CUMEEIRA ARTICULADA (ABA INTERNA INFERIOR OU EXTERNA SUPERIOR) PARA TELHA ESTRUTURAL DE FIBROCIMENTO, 1 ABA, E = 6 MM (SEM AMIANTO)</t>
  </si>
  <si>
    <t>CUMEEIRA ARTICULADA (ABA SUPERIOR) PARA TELHA ONDULADA DE FIBROCIMENTO E = 4 MM, ABA *330* MM, COMPRIMENTO 500 MM (SEM AMIANTO)</t>
  </si>
  <si>
    <t>CUMEEIRA ARTICULADA (PAR) PARA TELHA ONDULADA DE FIBROCIMENTO, E = 6 MM, ABA 350 MM, COMPRIMENTO 1100 MM (SEM AMIANTO)</t>
  </si>
  <si>
    <t>CUMEEIRA NORMAL PARA TELHA ESTRUTURAL DE FIBROCIMENTO 1 ABA, E = 6 MM, COMPRIMENTO 608 MM (SEM AMIANTO)</t>
  </si>
  <si>
    <t>CUMEEIRA NORMAL PARA TELHA ESTRUTURAL DE FIBROCIMENTO 2 ABAS, E = 6 MM, DE 1050 X 935 MM (SEM AMIANTO)</t>
  </si>
  <si>
    <t>CUMEEIRA NORMAL PARA TELHA ONDULADA DE FIBROCIMENTO, E = 6 MM, ABA 300 MM, COMPRIMENTO 1100 MM (SEM AMIANTO)</t>
  </si>
  <si>
    <t>CUMEEIRA PARA TELHA CERAMICA, COMPRIMENTO DE *41* CM, RENDIMENTO DE *3* TELHAS/M</t>
  </si>
  <si>
    <t>CUMEEIRA PARA TELHA DE CONCRETO, PARA 2 AGUAS DE TELHADO, COR CINZA, RENDIMENTO DE *3* TELHAS/M (COLETADO CAIXA)</t>
  </si>
  <si>
    <t>CUMEEIRA UNIVERSAL PARA TELHA ONDULADA DE FIBROCIMENTO, E = 6 MM, ABA 210 MM, COMPRIMENTO 1100 MM (SEM AMIANTO)</t>
  </si>
  <si>
    <t>ESTRIBO COM PARAFUSO EM CHAPA DE FERRO FUNDIDO DE 2" X 3/16" X 35 CM, SECAO "U", PARA MADEIRAMENTO DE TELHADO</t>
  </si>
  <si>
    <t>FIXADOR DE ABA AUTOTRAVANTE PARA TELHA DE FIBROCIMENTO, TIPO CANALETE 90 OU KALHETAO</t>
  </si>
  <si>
    <t xml:space="preserve">FIXADOR DE ABA SIMPLES PARA TELHA DE FIBROCIMENTO, TIPO CANALETA 49 OU KALHETA  </t>
  </si>
  <si>
    <t>FIXADOR DE ABA SIMPLES PARA TELHA DE FIBROCIMENTO, TIPO CANALETA 90 OU KALHETAO</t>
  </si>
  <si>
    <t>GANCHO CHATO EM FERRO GALVANIZADO,  L = 110 MM, RECOBRIMENTO = 100MM, SECAO 1/8 X 1/2" (3 MM X 12 MM), PARA FIXAR TELHA DE FIBROCIMENTO ONDULADA</t>
  </si>
  <si>
    <t xml:space="preserve">GANCHO L COM ROSCA, PARA FIXAR TELHA EM MADEIRA, 1/4" X 350 MM (COLETADO CAIXA) </t>
  </si>
  <si>
    <t>IMPERMEABILIZANTE INCOLOR PARA TRATAMENTO DE FACHADAS E TELHAS, BASE SILICONE</t>
  </si>
  <si>
    <t>PINGADEIRA PLASTICA PARA TELHA DE FIBROCIMENTO CANALETE 49/KALHETA OU CANALETE 90/KALHETAO</t>
  </si>
  <si>
    <t xml:space="preserve">PLACA DE VENTILACAO PARA TELHA DE FIBROCIMENTO CANALETE 49 KALHETA  </t>
  </si>
  <si>
    <t xml:space="preserve">PLACA DE VENTILACAO PARA TELHA DE FIBROCIMENTO, CANALETE 90 OU KALHETAO  </t>
  </si>
  <si>
    <t xml:space="preserve">RUFO PARA TELHA ESTRUTURAL DE FIBROCIMENTO 1 ABA (SEM AMIANTO)  </t>
  </si>
  <si>
    <t>RUFO PARA TELHA ESTRUTURAL DE FIBROCIMENTO 2 ABAS, COMPRIMENTO DE 1031 MM (SEM AMIANTO)</t>
  </si>
  <si>
    <t>RUFO PARA TELHA ONDULADA DE FIBROCIMENTO, E = 6 MM, ABA *260* MM, COMPRIMENTO 1100 MM (SEM AMIANTO)</t>
  </si>
  <si>
    <t>TAMPAO PARA TELHA ESTRUTURAL DE FIBROCIMENTO 1 ABA, DE 370 X 155 X 76 MM (SEM AMIANTO)</t>
  </si>
  <si>
    <t>TAMPAO PARA TELHA ESTRUTURAL DE FIBROCIMENTO 2 ABAS, DE 787 X 215 X 60 MM (SEM AMIANTO)</t>
  </si>
  <si>
    <t>TELHA CERAMICA TIPO AMERICANA, COMPRIMENTO DE *45* CM, RENDIMENTO DE *12* TELHAS/M2</t>
  </si>
  <si>
    <t xml:space="preserve">TELHA DE BARRO / CERAMICA, NAO ESMALTADA, TIPO COLONIAL, CANAL, PLAN, PAULISTA, COMPRIMENTO DE *44 A 50* CM, RENDIMENTO DE COBERTURA DE *26* TELHAS/M2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</si>
  <si>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MIL</t>
  </si>
  <si>
    <t xml:space="preserve">TELHA DE BARRO / CERAMICA, TIPO ROMANA, AMERICANA, PORTUGUESA, FRANCESA, COMPRIMENTO DE *41* CM,  RENDIMENTO DE *16* TELHAS/M2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</si>
  <si>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TELHA DE CONCRETO TIPO CLASSICA, COR CINZA, COMPRIMENTO DE *42* CM, RENDIMENTO DE *10* TELHAS/M2 (COLETADO CAIXA)</t>
  </si>
  <si>
    <t xml:space="preserve">TELHA DE FIBRA DE VIDRO ONDULADA INCOLOR, E = 0,6 MM, DE *0,50 X 2,44* M  </t>
  </si>
  <si>
    <t xml:space="preserve">TELHA DE FIBROCIMENTO E = 6 MM, DE 3,00 X 1,06 M (SEM AMIANTO)  </t>
  </si>
  <si>
    <t xml:space="preserve">TELHA DE FIBROCIMENTO E = 6 MM, DE 4,10 X 1,06 M (SEM AMIANTO)  </t>
  </si>
  <si>
    <t xml:space="preserve">TELHA DE FIBROCIMENTO E = 6 MM, DE 4,60 X 1,06 M (SEM AMIANTO)  </t>
  </si>
  <si>
    <t xml:space="preserve">TELHA DE FIBROCIMENTO E = 8 MM, DE 3,00 X 1,06 M (SEM AMIANTO)  </t>
  </si>
  <si>
    <t xml:space="preserve">TELHA DE FIBROCIMENTO E = 8 MM, DE 4,10 X 1,06 M (SEM AMIANTO)  </t>
  </si>
  <si>
    <t xml:space="preserve">TELHA DE FIBROCIMENTO E = 8 MM, DE 4,60 X 1,06 M (SEM AMIANTO)  </t>
  </si>
  <si>
    <t xml:space="preserve">TELHA DE FIBROCIMENTO E= 8 MM, DE *3,70 X 1,06* M (SEM AMIANTO)  </t>
  </si>
  <si>
    <t xml:space="preserve">TELHA DE FIBROCIMENTO ONDULADA E = 6 MM, DE 1,53 X 1,10 M (SEM AMIANTO)  </t>
  </si>
  <si>
    <t xml:space="preserve">TELHA DE FIBROCIMENTO ONDULADA E = 6 MM, DE 1,83 X 1,10 M (SEM AMIANTO)  </t>
  </si>
  <si>
    <t xml:space="preserve">TELHA DE FIBROCIMENTO ONDULADA E = 6 MM, DE 2,44 X 1,10 M (SEM AMIANTO)  </t>
  </si>
  <si>
    <t xml:space="preserve">TELHA DE FIBROCIMENTO ONDULADA E = 6 MM, DE 3,66 X 1,10 M (SEM AMIANTO)  </t>
  </si>
  <si>
    <t xml:space="preserve">TELHA DE FIBROCIMENTO ONDULADA E = 8 MM, DE 1,53 X 1,10 M (SEM AMIANTO)  </t>
  </si>
  <si>
    <t xml:space="preserve">TELHA DE FIBROCIMENTO ONDULADA E = 8 MM, DE 1,83 X 1,10 M (SEM AMIANTO)  </t>
  </si>
  <si>
    <t xml:space="preserve">TELHA DE FIBROCIMENTO ONDULADA E = 8 MM, DE 2,44 X 1,10 M (SEM AMIANTO)  </t>
  </si>
  <si>
    <t xml:space="preserve">TELHA DE FIBROCIMENTO ONDULADA E = 8 MM, DE 3,66 X 1,10 M (SEM AMIANTO)  </t>
  </si>
  <si>
    <t xml:space="preserve">TELHA DE VIDRO TIPO FRANCESA, *39 X 23* CM  </t>
  </si>
  <si>
    <t xml:space="preserve">TELHA ESTRUTURAL DE FIBROCIMENTO 1 ABA, DE 0,52 X 2,00 M (SEM AMIANTO)  </t>
  </si>
  <si>
    <t xml:space="preserve">TELHA ESTRUTURAL DE FIBROCIMENTO 1 ABA, DE 0,52 X 2,50 M (SEM AMIANTO)  </t>
  </si>
  <si>
    <t xml:space="preserve">TELHA ESTRUTURAL DE FIBROCIMENTO 1 ABA, DE 0,52 X 3,60 M (SEM AMIANTO)  </t>
  </si>
  <si>
    <t xml:space="preserve">TELHA DE ACO ZINCADO ONDULADA, A = *17* MM, E = 0,5 MM, SEM PINTURA  </t>
  </si>
  <si>
    <t>TIRANTE EM FERRO GALVANIZADO PARA CONTRAVENTAMENTO DE TELHA CANALETE 90, 1/4 " X 400 MM</t>
  </si>
  <si>
    <t>KIT DE MATERIAIS PARA BRACADEIRA PARA FIXACAO EM POSTE CIRCULAR, CONTEM TRES FIXADORES E UM ROLO DE FITA DE 3 M EM ACO CARBONO</t>
  </si>
  <si>
    <t>MADEIRA ROLICA TRATADA, EUCALIPTO OU EQUIVALENTE DA REGIAO, H = 12 M, D = 20 A 24 CM (PARA POSTE)</t>
  </si>
  <si>
    <t>POSTE CONICO CONTINUO EM ACO GALVANIZADO, CURVO, BRACO DUPLO, ENGASTADO,  H = 9 M, DIAMETRO INFERIOR = *135* MM</t>
  </si>
  <si>
    <t xml:space="preserve">POSTE DE CONCRETO CIRCULAR, 150 KG, H = 10 M (NBR 8451)  </t>
  </si>
  <si>
    <t xml:space="preserve">POSTE DE CONCRETO CIRCULAR, 200 KG, H = 11 M (NBR 8451)  </t>
  </si>
  <si>
    <t xml:space="preserve">POSTE DE CONCRETO CIRCULAR, 200 KG, H = 9 M (NBR 8451)  </t>
  </si>
  <si>
    <t xml:space="preserve">POSTE DE CONCRETO CIRCULAR, 400 KG, H = 14 M (NBR 8451)  </t>
  </si>
  <si>
    <t xml:space="preserve">POSTE DE CONCRETO DUPLO T, 400 KG,H = 12 M (NBR 8451)  </t>
  </si>
  <si>
    <t>SUPORTE EM ACO GALVANIZADO PARA TRANSFORMADOR PARA POSTE DUPLO T 185 X 95 MM, CHAPA DE 5/16"</t>
  </si>
  <si>
    <t xml:space="preserve">ADITIVO ACELERADOR DE PEGA E ENDURECIMENTO PARA ARGAMASSAS E CONCRETOS  </t>
  </si>
  <si>
    <t xml:space="preserve">CIMENTO PORTLAND COMPOSTO CP II-32  </t>
  </si>
  <si>
    <t xml:space="preserve">CIMENTO PORTLAND COMPOSTO CP II-32 (SACO DE 50 KG)  </t>
  </si>
  <si>
    <t>50KG</t>
  </si>
  <si>
    <t xml:space="preserve">CIMENTO PORTLAND POZOLANICO CP IV-32  </t>
  </si>
  <si>
    <t xml:space="preserve">CIMENTO PORTLAND POZOLANICO CP IV- 32  </t>
  </si>
  <si>
    <t xml:space="preserve">CIMENTO PORTLAND DE ALTO FORNO (AF) CP III-32  </t>
  </si>
  <si>
    <t xml:space="preserve">PISO EM REGUA VINILICA SEMIFLEXIVEL, ENCAIXE CLICADO, E = 4 MM (SEM COLOCACAO)  </t>
  </si>
  <si>
    <t xml:space="preserve">REGUA DE ALUMINIO PARA PEDREIRO 2 X 1 "  </t>
  </si>
  <si>
    <t xml:space="preserve">AREIA FINA - POSTO JAZIDA/FORNECEDOR (RETIRADO NA JAZIDA, SEM TRANSPORTE)  </t>
  </si>
  <si>
    <t>M3</t>
  </si>
  <si>
    <t xml:space="preserve">AREIA GROSSA - POSTO JAZIDA/FORNECEDOR (RETIRADO NA JAZIDA, SEM TRANSPORTE)  </t>
  </si>
  <si>
    <t xml:space="preserve">AREIA MEDIA - POSTO JAZIDA/FORNECEDOR (RETIRADO NA JAZIDA, SEM TRANSPORTE)  </t>
  </si>
  <si>
    <t>PEDRA BRITADA N. 0, OU PEDRISCO (4,8 A 9,5 MM) POSTO PEDREIRA/FORNECEDOR, SEM FRETE</t>
  </si>
  <si>
    <t xml:space="preserve">PEDRA BRITADA N. 1 (9,5 a 19 MM) POSTO PEDREIRA/FORNECEDOR, SEM FRETE  </t>
  </si>
  <si>
    <t xml:space="preserve">PEDRA BRITADA N. 2 (19 A 38 MM) POSTO PEDREIRA/FORNECEDOR, SEM FRETE  </t>
  </si>
  <si>
    <t xml:space="preserve">PEDRA BRITADA N. 3 (38 A 50 MM) POSTO PEDREIRA/FORNECEDOR, SEM FRETE  </t>
  </si>
  <si>
    <t>CAIBRO DE MADEIRA APARELHADA *6 X 8* CM, MACARANDUBA, ANGELIM OU EQUIVALENTE DA REGIAO</t>
  </si>
  <si>
    <t>CAIBRO DE MADEIRA NAO APARELHADA *5 X 6* CM, MACARANDUBA, ANGELIM OU EQUIVALENTE DA REGIAO</t>
  </si>
  <si>
    <t>CAIBRO DE MADEIRA NAO APARELHADA *6 X 8* CM, MACARANDUBA, ANGELIM OU EQUIVALENTE DA REGIAO</t>
  </si>
  <si>
    <t>CAIBRO DE MADEIRA NAO APARELHADA *7,5 X 10 CM (3 X 4 ") PINUS, MISTA OU EQUIVALENTE DA REGIAO</t>
  </si>
  <si>
    <t>CAIBRO DE MADEIRA NAO APARELHADA 5 X 5 CM (2 X 2 ") PINUS, MISTA OU EQUIVALENTE DA REGIAO</t>
  </si>
  <si>
    <t>CAIBRO DE MADEIRA NAO APARELHADA 5 X 5 CM, CEDRINHO OU EQUIVALENTE DA REGIAO</t>
  </si>
  <si>
    <t>MADEIRA ROLICA TRATADA, EUCALIPTO OU EQUIVALENTE DA REGIAO, H = 3 M, D = 4 A 7 CM (PARA CAIBRO)</t>
  </si>
  <si>
    <t>MEIA CANA DE MADEIRA CEDRINHO OU EQUIVALENTE DA REGIAO, ACABAMENTO PARA FORRO PAULISTA, *2,5 X 2,5* CM</t>
  </si>
  <si>
    <t>MEIA CANA DE MADEIRA PINUS OU EQUIVALENTE DA REGIAO, ACABAMENTO PARA FORRO PAULISTA, *2,5 X 2,5* CM</t>
  </si>
  <si>
    <t>RIPA DE MADEIRA APARELHADA *1,5 X 5* CM, MACARANDUBA, ANGELIM OU EQUIVALENTE DA REGIAO</t>
  </si>
  <si>
    <t>RIPA DE MADEIRA NAO APARELHADA *1 X 3* CM, MACARANDUBA, ANGELIM OU EQUIVALENTE DA REGIAO</t>
  </si>
  <si>
    <t>RIPA DE MADEIRA NAO APARELHADA *1,5 X 5* CM, MACARANDUBA, ANGELIM OU EQUIVALENTE DA REGIAO</t>
  </si>
  <si>
    <t>RIPA DE MADEIRA NAO APARELHADA *2 X 7* CM, PINUS, MISTA OU EQUIVALENTE DA REGIAO</t>
  </si>
  <si>
    <t>TABUA DE MADEIRA NAO APARELHADA *2,5 X 30 CM (1 X 12 ") PINUS, MISTA OU EQUIVALENTE DA REGIAO</t>
  </si>
  <si>
    <t>TABUA DE  MADEIRA PARA PISO, CUMARU/IPE CHAMPANHE OU EQUIVALENTE DA REGIAO, ENCAIXE MACHO/FEMEA, *10 X 2* CM</t>
  </si>
  <si>
    <t>TABUA DE  MADEIRA PARA PISO, CUMARU/IPE CHAMPANHE OU EQUIVALENTE DA REGIAO, ENCAIXE MACHO/FEMEA, *15 X 2* CM</t>
  </si>
  <si>
    <t>TABUA DE  MADEIRA PARA PISO, IPE (CERNE) OU EQUIVALENTE DA REGIAO, ENCAIXE MACHO/FEMEA, *20 X 2* CM</t>
  </si>
  <si>
    <t>TABUA DE MADEIRA APARELHADA *2,5 X 15* CM, MACARANDUBA, ANGELIM OU EQUIVALENTE DA REGIAO</t>
  </si>
  <si>
    <t>TABUA DE MADEIRA APARELHADA *2,5 X 25* CM, MACARANDUBA, ANGELIM OU EQUIVALENTE DA REGIAO</t>
  </si>
  <si>
    <t>TABUA DE MADEIRA APARELHADA *2,5 X 30* CM, MACARANDUBA, ANGELIM OU EQUIVALENTE DA REGIAO</t>
  </si>
  <si>
    <t>TABUA DE MADEIRA NAO APARELHADA *2,5 X 10 CM (1 X 4 ") PINUS, MISTA OU EQUIVALENTE DA REGIAO</t>
  </si>
  <si>
    <t>TABUA DE MADEIRA NAO APARELHADA *2,5 X 15 CM (1 X 6 ") PINUS, MISTA OU EQUIVALENTE DA REGIAO</t>
  </si>
  <si>
    <t>TABUA DE MADEIRA NAO APARELHADA *2,5 X 20* CM, CEDRINHO OU EQUIVALENTE DA REGIAO</t>
  </si>
  <si>
    <t>TABUA DE MADEIRA NAO APARELHADA *2,5 X 23* CM (1 x 9 ") PINUS, MISTA OU EQUIVALENTE DA REGIAO</t>
  </si>
  <si>
    <t>TABUA DE MADEIRA NAO APARELHADA *2,5 X 30* CM, CEDRINHO OU EQUIVALENTE DA REGIAO</t>
  </si>
  <si>
    <t>ACABAMENTO SIMPLES/CONVENCIONAL PARA FORRO PVC, TIPO "U" OU "C", COR BRANCA, COMPRIMENTO 6 M</t>
  </si>
  <si>
    <t>FORRO COMPOSTO POR PAINEIS DE LA DE VIDRO, REVESTIDOS EM PVC MICROPERFURADO, DE *1250 X 625* MM, ESPESSURA 15 MM (COM COLOCACAO)</t>
  </si>
  <si>
    <t>FORRO DE MADEIRA CEDRINHO OU EQUIVALENTE DA REGIAO, ENCAIXE MACHO/FEMEA COM FRISO, *10 X 1* CM (SEM COLOCACAO)</t>
  </si>
  <si>
    <t>FORRO DE MADEIRA CUMARU/IPE CHAMPANHE OU EQUIVALENTE DA REGIAO, ENCAIXE MACHO/FEMEA COM FRISO, *10 X 1* CM (SEM COLOCACAO)</t>
  </si>
  <si>
    <t>FORRO DE MADEIRA PINUS OU EQUIVALENTE DA REGIAO, ENCAIXE MACHO/FEMEA COM FRISO, *10 X 1* CM (SEM COLOCACAO)</t>
  </si>
  <si>
    <t>FORRO DE PVC LISO, BRANCO, REGUA DE 10 CM, ESPESSURA DE 8 MM A 10 MM (COM COLOCACAO / SEM ESTRUTURA METALICA)</t>
  </si>
  <si>
    <t>FORRO DE PVC LISO, BRANCO, REGUA DE 20 CM, ESPESSURA DE 8 MM A 10 MM, COMPRIMENTO 6 M (SEM COLOCACAO)</t>
  </si>
  <si>
    <t>FORRO DE PVC, FRISADO, BRANCO, REGUA DE 10 CM, ESPESSURA DE 8 MM A 10 MM E COMPRIMENTO 6 M (SEM COLOCACAO)</t>
  </si>
  <si>
    <t>FORRO DE PVC, FRISADO, BRANCO, REGUA DE 20 CM, ESPESSURA DE 8 MM A 10 MM E COMPRIMENTO 6 M (SEM COLOCACAO)</t>
  </si>
  <si>
    <t>LAJE PRE-MOLDADA CONVENCIONAL (LAJOTAS + VIGOTAS) PARA FORRO, UNIDIRECIONAL, SOBRECARGA 100 KG/M2, VAO ATE 5,00 M (SEM COLOCACAO)</t>
  </si>
  <si>
    <t>LAJE PRE-MOLDADA TRELICADA (LAJOTAS + VIGOTAS) PARA FORRO, UNIDIRECIONAL, SOBRECARGA DE 100 KG/M2, VAO ATE 6,00 M (SEM COLOCACAO)</t>
  </si>
  <si>
    <t>PENDURAL OU REGULADOR, COM MOLA, EM ACO GALVANIZADO, PARA PERFIL TIPO T CLICADO DE FORROS REMOVIVEL</t>
  </si>
  <si>
    <t>PERFIL LONGARINA (PRINCIPAL), T CLICADO, EM ACO, BRANCO, PARA FORRO REMOVIVEL, 24 X 3750 MM (L X C)</t>
  </si>
  <si>
    <t>PERFIL TIPO CANTONEIRA EM L, EM ACO GALVANIZADO, BRANCO, PARA FORRO REMOVIVEL, *23* X 3000 MM (L X C)</t>
  </si>
  <si>
    <t>PERFIL TRAVESSA (SECUNDARIO), T CLICADO, EM ACO GALVANIZADO , BRANCO, PARA FORRO REMOVIVEL, 24 X 1250 MM (L X C)</t>
  </si>
  <si>
    <t>PLACA DE FIBRA MINERAL PARA FORRO, DE 1250 X 625 MM, E = 15 MM, BORDA RETA, COM PINTURA ANTIMOFO (NAO INCLUI PERFIS)</t>
  </si>
  <si>
    <t xml:space="preserve">RODAFORRO EM PVC, PARA FORRO DE PVC, COMPRIMENTO 6 M  </t>
  </si>
  <si>
    <t xml:space="preserve">ARGAMASSA PISO SOBRE PISO  </t>
  </si>
  <si>
    <t xml:space="preserve">ARGAMASSA PRONTA PARA CONTRAPISO  </t>
  </si>
  <si>
    <t>ARGAMASSA USINADA AUTOADENSAVEL E AUTONIVELANTE PARA CONTRAPISO, INCLUI BOMBEAMENTO</t>
  </si>
  <si>
    <t>BLOQUETE/PISO DE CONCRETO - MODELO BLOCO PISOGRAMA/CONCREGRAMA 2 FUROS, *35  CM X 15* CM, E =  *6* CM, COR NATURAL</t>
  </si>
  <si>
    <t>BLOQUETE/PISO DE CONCRETO - MODELO BLOCO PISOGRAMA/CONCREGRAMA 2 FUROS, *35  CM X 15* CM, E =  *8* CM, COR NATURAL</t>
  </si>
  <si>
    <t>BLOQUETE/PISO DE CONCRETO - MODELO PISOGRAMA/CONCREGRAMA/PAVI-GRADE/GRAMEIRO, *60  CM X 45* CM, E =  *7* CM, COR NATURAL</t>
  </si>
  <si>
    <t>BLOQUETE/PISO INTERTRAVADO DE CONCRETO - MODELO ONDA/16 FACES/RETANGULAR/TIJOLINHO/PAVER/HOLANDES/PARALELEPIPEDO, *22 CM X *11 CM, E = 10 CM, RESISTENCIA DE 50 MPA (NBR 9781), COR NATURAL</t>
  </si>
  <si>
    <t>BLOQUETE/PISO INTERTRAVADO DE CONCRETO - MODELO ONDA/16 FACES/RETANGULAR/TIJOLINHO/PAVER/HOLANDES/PARALELEPIPEDO, *22 CM X 11* CM, E = 8 CM, RESISTENCIA DE 35 MPA (NBR 9781), COR NATURAL</t>
  </si>
  <si>
    <t>BLOQUETE/PISO INTERTRAVADO DE CONCRETO - MODELO ONDA/16 FACES/RETANGULAR/TIJOLINHO/PAVER/HOLANDES/PARALELEPIPEDO, 20 CM X 10 CM, E = 10 CM, RESISTENCIA DE 35 MPA (NBR 9781), COR NATURAL</t>
  </si>
  <si>
    <t>BLOQUETE/PISO INTERTRAVADO DE CONCRETO - MODELO ONDA/16 FACES/RETANGULAR/TIJOLINHO/PAVER/HOLANDES/PARALELEPIPEDO, 20 CM X 10 CM, E = 6 CM, RESISTENCIA DE 35 MPA (NBR 9781), COLORIDO</t>
  </si>
  <si>
    <t>BLOQUETE/PISO INTERTRAVADO DE CONCRETO - MODELO ONDA/16 FACES/RETANGULAR/TIJOLINHO/PAVER/HOLANDES/PARALELEPIPEDO, 20 CM X 10 CM, E = 8 CM, RESISTENCIA DE 35 MPA (NBR 9781), COLORIDO</t>
  </si>
  <si>
    <t>BLOQUETE/PISO INTERTRAVADO DE CONCRETO - MODELO RAQUETE, *22 CM X 13,5* CM, E = 6 CM, RESISTENCIA DE 35 MPA (NBR 9781), COR NATURAL</t>
  </si>
  <si>
    <t>BLOQUETE/PISO INTERTRAVADO DE CONCRETO - MODELO SEXTAVADO, 25 CM X 25 CM, E = 10 CM, RESISTENCIA DE 35 MPA (NBR 9781), COR NATURAL</t>
  </si>
  <si>
    <t>CAIXA DE PASSAGEM ELETRICA, PARA PISO, EM PVC, DIMENSOES DE 3/4" A 4"</t>
  </si>
  <si>
    <t xml:space="preserve">CHAPA DE ACO XADREZ PARA PISOS, E = 1/4 " (6,30 MM) 54,53 KG/M2  </t>
  </si>
  <si>
    <t>ELETRODUTO PVC FLEXIVEL CORRUGADO, REFORCADO, COR LARANJA, DE 20 MM, PARA LAJES E PISOS</t>
  </si>
  <si>
    <t>ELETRODUTO PVC FLEXIVEL CORRUGADO, REFORCADO, COR LARANJA, DE 25 MM, PARA LAJES E PISOS</t>
  </si>
  <si>
    <t>ELETRODUTO PVC FLEXIVEL CORRUGADO, REFORCADO, COR LARANJA, DE 32 MM, PARA LAJES E PISOS</t>
  </si>
  <si>
    <t>ENDURECEDOR MINERAL DE BASE CIMENTICIA PARA PISO DE CONCRETO</t>
  </si>
  <si>
    <t xml:space="preserve">KG    </t>
  </si>
  <si>
    <t>JUNTA PLASTICA DE DILATACAO PARA PISOS, COR CINZA, 10 X 4,5 MM (ALTURA X ESPESSURA)</t>
  </si>
  <si>
    <t xml:space="preserve">JUNTA PLASTICA DE DILATACAO PARA PISOS, COR CINZA, 17 X 3 MM (ALTURA X ESPESSURA)  </t>
  </si>
  <si>
    <t xml:space="preserve">JUNTA PLASTICA DE DILATACAO PARA PISOS, COR CINZA, 27 X 3 MM (ALTURA X ESPESSURA)  </t>
  </si>
  <si>
    <t>LAJE PRE-MOLDADA CONVENCIONAL (LAJOTAS + VIGOTAS) PARA PISO, UNIDIRECIONAL, SOBRECARGA DE 200 KG/M2, VAO ATE 3,50 M (SEM COLOCACAO)</t>
  </si>
  <si>
    <t>LAJE PRE-MOLDADA CONVENCIONAL (LAJOTAS + VIGOTAS) PARA PISO, UNIDIRECIONAL, SOBRECARGA DE 200 KG/M2, VAO ATE 4,50 M (SEM COLOCACAO)</t>
  </si>
  <si>
    <t>LAJE PRE-MOLDADA CONVENCIONAL (LAJOTAS + VIGOTAS) PARA PISO, UNIDIRECIONAL, SOBRECARGA DE 200 KG/M2, VAO ATE 5,00 M (SEM COLOCACAO)</t>
  </si>
  <si>
    <t>LAJE PRE-MOLDADA CONVENCIONAL (LAJOTAS + VIGOTAS) PARA PISO, UNIDIRECIONAL, SOBRECARGA DE 350 KG/M2, VAO ATE 4,50 M (SEM COLOCACAO)</t>
  </si>
  <si>
    <t>LAJE PRE-MOLDADA CONVENCIONAL (LAJOTAS + VIGOTAS) PARA PISO, UNIDIRECIONAL, SOBRECARGA DE 350 KG/M2, VAO ATE 5,00 M (SEM COLOCACAO)</t>
  </si>
  <si>
    <t xml:space="preserve">MANTA ANTIRRUIDO DE POLIESTER (PET) PARA CONTRAPISO E = *8* MM </t>
  </si>
  <si>
    <t xml:space="preserve">MOLA HIDRAULICA DE PISO P/ VIDRO TEMPERADO 10MM  </t>
  </si>
  <si>
    <t>PERFIL ELASTOMERICO PRE-FORMADO EM EPMD, PARA JUNTA DE DILATACAO DE PISOS COM POUCA SOLICITACAO, 15 MM DE LARGURA, MOVIMENTACAO DE *11 A 19* MM</t>
  </si>
  <si>
    <t xml:space="preserve">PISO DE BORRACHA CANELADO EM PLACAS 50 X 50 CM, E = *3,5* MM, PARA COLA  </t>
  </si>
  <si>
    <t>PISO DE BORRACHA ESPORTIVO EM PLACAS 50 X 50 CM, E = 15 MM, PARA ARGAMASSA, PRETO</t>
  </si>
  <si>
    <t>PISO DE BORRACHA FRISADO OU PASTILHADO, PRETO, EM PLACAS 50 X 50 CM, E = 7 MM, PARA ARGAMASSA</t>
  </si>
  <si>
    <t xml:space="preserve">PISO DE BORRACHA PASTILHADO EM PLACAS 50 X 50 CM, E = *3,5* MM, PARA COLA, PRETO  </t>
  </si>
  <si>
    <t>PISO DE BORRACHA PASTILHADO EM PLACAS 50 X 50 CM, E = 15 MM, PARA ARGAMASSA, PRETO</t>
  </si>
  <si>
    <t>PISO ELEVADO COM 2 PLACAS DE ACO COM ENCHIMENTO DE CONCRETO CELULAR, INCLUSO BASE/HASTE/CRUZETAS, 60 X 60 CM, H = *28* CM, RESISTENCIA CARGA CONCENTRADA 496 KG (COM COLOCACAO)</t>
  </si>
  <si>
    <t>PISO EM CERAMICA ESMALTADA EXTRA, PEI MAIOR OU IGUAL A 4, FORMATO MAIOR QUE 2025 CM2</t>
  </si>
  <si>
    <t>PISO EM CERAMICA ESMALTADA EXTRA, PEI MAIOR OU IGUAL A 4, FORMATO MENOR OU IGUAL A 2025 CM2</t>
  </si>
  <si>
    <t>PISO EM CERAMICA ESMALTADA, COMERCIAL (PADRAO POPULAR), PEI MAIOR OU IGUAL A 3, FORMATO MENOR OU IGUAL A  2025 CM2</t>
  </si>
  <si>
    <t>PISO EM GRANILITE, MARMORITE OU GRANITINA, AGREGADO COR PRETO, CINZA, PALHA OU BRANCO, E=  *8* MM (INCLUSO EXECUCAO)</t>
  </si>
  <si>
    <t>PISO EM GRANITO, POLIDO, TIPO AMENDOA/ AMARELO CAPRI/ AMARELO DOURADO CARIOCA OU OUTROS EQUIVALENTES DA REGIAO, FORMATO MENOR OU IGUAL A 3025 CM2, E=  *2* CM</t>
  </si>
  <si>
    <t>PISO EM GRANITO, POLIDO, TIPO ANDORINHA/ QUARTZ/ CASTELO/ CORUMBA OU OUTROS EQUIVALENTES DA REGIAO, FORMATO MENOR OU IGUAL A 3025 CM2, E=  *2* CM</t>
  </si>
  <si>
    <t>PISO EM GRANITO, POLIDO, TIPO MARFIM, DALLAS, CARAVELAS OU OUTROS EQUIVALENTES DA REGIAO, FORMATO MENOR OU IGUAL A 3025 CM2, E=  *2* CM</t>
  </si>
  <si>
    <t>PISO EM GRANITO, POLIDO, TIPO PRETO SAO GABRIEL/ TIJUCA OU OUTROS EQUIVALENTES DA REGIAO, FORMATO MENOR OU IGUAL A 3025 CM2, E=  *2* CM</t>
  </si>
  <si>
    <t xml:space="preserve">PISO EM PORCELANATO RETIFICADO EXTRA, FORMATO MENOR OU IGUAL A 2025 CM2  </t>
  </si>
  <si>
    <t xml:space="preserve">PISO EPOXI AUTONIVELANTE, ESPESSURA *4* MM (INCLUSO EXECUCAO) </t>
  </si>
  <si>
    <t xml:space="preserve">PISO EPOXI MULTILAYER, ESPESSURA *2* MM (INCLUSO EXECUCAO) </t>
  </si>
  <si>
    <t xml:space="preserve">PISO FULGET (GRANITO LAVADO) EM PLACAS DE *40 X 40* CM (SEM COLOCACAO) </t>
  </si>
  <si>
    <t xml:space="preserve">PISO FULGET (GRANITO LAVADO) EM PLACAS DE *75 X 75* CM (SEM COLOCACAO) </t>
  </si>
  <si>
    <t xml:space="preserve">PISO FULGET (GRANITO LAVADO) MOLDADO IN LOCO (INCLUSO EXECUCAO) </t>
  </si>
  <si>
    <t>PISO INDUSTRIAL EM CONCRETO ARMADO DE ACABAMENTO POLIDO, ESPESSURA 12 CM (CIMENTO QUEIMADO) (INCLUSO EXECUCAO)</t>
  </si>
  <si>
    <t>PISO PODOTATIL DE CONCRETO - DIRECIONAL E ALERTA, *40 X 40 X 2,5* CM</t>
  </si>
  <si>
    <t>PISO TATIL ALERTA OU DIRECIONAL, DE BORRACHA, COLORIDO, 25 X 25 CM, E = 5 MM, PARA COLA</t>
  </si>
  <si>
    <t>PISO TATIL DE ALERTA OU DIRECIONAL DE BORRACHA, PRETO, 25 X 25 CM, E = 5 MM, PARA COLA</t>
  </si>
  <si>
    <t xml:space="preserve">PLACA VINILICA SEMIFLEXIVEL PARA PISOS, E = 3,2 MM, 30 X 30 CM (SEM COLOCACAO)  </t>
  </si>
  <si>
    <t>PLACA VINILICA SEMIFLEXIVEL PARA REVESTIMENTO DE PISOS E PAREDES, E = 2 MM (SEM COLOCACAO)</t>
  </si>
  <si>
    <t>PLACA/PISO DE CONCRETO POROSO/ PAVIMENTO PERMEAVEL/BLOCO DRENANTE DE CONCRETO, 40 CM X 40 CM, E = 6 CM, COR NATURAL</t>
  </si>
  <si>
    <t xml:space="preserve">RODAPE PLANO PARA PISO VINILICO, H = 5 CM  </t>
  </si>
  <si>
    <t xml:space="preserve">TESTEIRA ANTIDERRAPANTE PARA PISO VINILICO *5 X 2,5* CM, E = 2 MM  </t>
  </si>
  <si>
    <t xml:space="preserve">TINTA ACRILICA PREMIUM PARA PISO  </t>
  </si>
  <si>
    <t xml:space="preserve">TINTA A OLEO BRILHANTE PARA MADEIRA E METAIS  </t>
  </si>
  <si>
    <t>MISTURADOR MANUAL DE TINTAS PARA FURADEIRA, HASTE METALICA *60* CM, COM HELICE  (MEXEDOR DE TINTA)</t>
  </si>
  <si>
    <t xml:space="preserve">REMOVEDOR DE TINTA OLEO/ESMALTE VERNIZ  </t>
  </si>
  <si>
    <t xml:space="preserve">TINTA/REVESTIMENTO  A BASE DE RESINA EPOXI COM ALCATRAO, BICOMPONENTE  </t>
  </si>
  <si>
    <t>TINTA A BASE DE RESINA ACRILICA EMULSIONADA EM AGUA, PARA SINALIZACAO HORIZONTAL VIARIA (NBR 13699)</t>
  </si>
  <si>
    <t xml:space="preserve">TINTA ACRILICA PARA CERAMICA  </t>
  </si>
  <si>
    <t xml:space="preserve">TINTA ACRILICA PREMIUM, COR BRANCO FOSCO  </t>
  </si>
  <si>
    <t>TINTA ASFALTICA IMPERMEABILIZANTE DILUIDA EM SOLVENTE, PARA MATERIAIS CIMENTICIOS, METAL E MADEIRA</t>
  </si>
  <si>
    <t xml:space="preserve">TINTA BORRACHA CLORADA, ACABAMENTO SEMIBRILHO, BRANCA  </t>
  </si>
  <si>
    <t xml:space="preserve">TINTA BORRACHA CLORADA, ACABAMENTO SEMIBRILHO, CORES VIVAS  </t>
  </si>
  <si>
    <t xml:space="preserve">TINTA ESMALTE SINTETICO PREMIUM ACETINADO  </t>
  </si>
  <si>
    <t xml:space="preserve">TINTA ESMALTE SINTETICO GRAFITE COM PROTECAO PARA METAIS FERROSOS  </t>
  </si>
  <si>
    <t xml:space="preserve">TINTA ESMALTE SINTETICO PREMIUM BRILHANTE  </t>
  </si>
  <si>
    <t xml:space="preserve">TINTA ESMALTE SINTETICO PREMIUM FOSCO  </t>
  </si>
  <si>
    <t xml:space="preserve">BANDEJA DE PINTURA PARA ROLO 23 CM </t>
  </si>
  <si>
    <t xml:space="preserve">CAL HIDRATADA PARA PINTURA  </t>
  </si>
  <si>
    <t>FECHADURA DE SOBREPOR PARA PORTAO, CAIXA *100* MM, COM CILINDRO, CHAVE SIMPLES, TRINCO LATERAL, EM  LATAO OU ACO CROMADO OU POLIDO, COM OU SEM PINTURA - COMPLETA</t>
  </si>
  <si>
    <t>KIT PORTA PRONTA DE MADEIRA, FOLHA MEDIA (NBR 15930) DE 90 X 210 CM, E = 35 MM, NUCLEO SARRAFEADO, ESTRUTURA USINADA PARA FECHADURA, CAPA LISA EM HDF, ACABAMENTO EM PRIMER PARA PINTURA (INCLUI MARCO, ALIZARES E DOBRADICAS)</t>
  </si>
  <si>
    <t>PAINEL ISOLANTE REVESTIDO EM ACO GALVALUME *0,5* MM COM PRE-PINTURA NAS DUAS FACES, NUCLEO EM POLIURETANO (PUR), E = 40/50 MM, PARA FECHAMENTOS VERTICAIS (INCLUI PARAFUSOS DE FIXACAO)</t>
  </si>
  <si>
    <t>PAINEL ISOLANTE REVESTIDO EM ACO GALVALUME *0,5* MM COM PRE-PINTURA NAS DUAS FACES, NUCLEO EM POLIURETANO (PUR), E = 70/80 MM, PARA FECHAMENTOS VERTICAIS (INCLUI PARAFUSOS DE FIXACAO)</t>
  </si>
  <si>
    <t>PORTA DE MADEIRA, FOLHA PESADA (NBR 15930) DE 80 X 210 CM, E = 35 MM, NUCLEO SOLIDO, CAPA LISA EM HDF, ACABAMENTO EM PRIMER PARA PINTURA</t>
  </si>
  <si>
    <t>PORTA DE MADEIRA, FOLHA PESADA (NBR 15930) DE 90 X 210 CM, E = 35 MM, NUCLEO SOLIDO, CAPA LISA EM HDF, ACABAMENTO EM PRIMER PARA PINTURA</t>
  </si>
  <si>
    <t>ALÇA PREFORMADA DE CONTRA POSTE, EM ACO GALVANIZADO, PARA CABO 3/16", COMPRIMENTO *860* MM</t>
  </si>
  <si>
    <t>Código SINAPÌ</t>
  </si>
  <si>
    <t>Base para rele fotoeletrico</t>
  </si>
  <si>
    <t>CABO DE COBRE, FLEXIVEL, CLASSE 4 OU 5, ISOLACAO EM PVC/A, ANTICHAMA BWF-B, COBERTURA PVC-ST1, ANTICHAMA BWF-B, 1 CONDUTOR, 0,6/1 KV, SECAO NOMINAL 10 MM2 (branco / preto / vermelho / azul)</t>
  </si>
  <si>
    <t xml:space="preserve">CABO FLEXIVEL PVC 750 V, 2 CONDUTORES DE 1,5 MM2 </t>
  </si>
  <si>
    <t>vlr R$</t>
  </si>
  <si>
    <t>média</t>
  </si>
  <si>
    <t>MEDIA</t>
  </si>
  <si>
    <t>MÉDIA</t>
  </si>
  <si>
    <t>LOTE 1 - MATERIAL ELÉTRICO</t>
  </si>
  <si>
    <t xml:space="preserve">Saúde (02)                  qtde </t>
  </si>
  <si>
    <t xml:space="preserve">Obras  (08)                 qtde           </t>
  </si>
  <si>
    <t xml:space="preserve">Educação (02)               qtde           </t>
  </si>
  <si>
    <t xml:space="preserve">Ass. Social (03)               qtde           </t>
  </si>
  <si>
    <t xml:space="preserve">Admin.  (08)               qtde           </t>
  </si>
  <si>
    <t>TOTAL DE ITENS DO LOTE</t>
  </si>
  <si>
    <t>Média</t>
  </si>
  <si>
    <t>LOTE 2 - MATERIAL HIDROSSANITÁRIO</t>
  </si>
  <si>
    <t xml:space="preserve"> 2.1</t>
  </si>
  <si>
    <t xml:space="preserve"> 2.2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</si>
  <si>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</si>
  <si>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</si>
  <si>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</si>
  <si>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</si>
  <si>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</si>
  <si>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</si>
  <si>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</si>
  <si>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</si>
  <si>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</si>
  <si>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</si>
  <si>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</si>
  <si>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</si>
  <si>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</si>
  <si>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 xml:space="preserve"> 2.19</t>
  </si>
  <si>
    <t xml:space="preserve"> 2.20</t>
  </si>
  <si>
    <t xml:space="preserve"> 2.21</t>
  </si>
  <si>
    <t xml:space="preserve"> 2.23</t>
  </si>
  <si>
    <t xml:space="preserve"> 2.24</t>
  </si>
  <si>
    <t xml:space="preserve"> 2.25</t>
  </si>
  <si>
    <t xml:space="preserve"> 2.27</t>
  </si>
  <si>
    <t xml:space="preserve"> 2.28</t>
  </si>
  <si>
    <t xml:space="preserve"> 2.29</t>
  </si>
  <si>
    <t xml:space="preserve"> 2.30</t>
  </si>
  <si>
    <t xml:space="preserve"> 2.31</t>
  </si>
  <si>
    <t xml:space="preserve"> 2.32</t>
  </si>
  <si>
    <t xml:space="preserve"> 2.33</t>
  </si>
  <si>
    <t xml:space="preserve"> 2.34</t>
  </si>
  <si>
    <t xml:space="preserve"> 2.35</t>
  </si>
  <si>
    <t xml:space="preserve"> 2.36</t>
  </si>
  <si>
    <t xml:space="preserve"> 2.37</t>
  </si>
  <si>
    <t xml:space="preserve"> 2.38</t>
  </si>
  <si>
    <t xml:space="preserve"> 2.39</t>
  </si>
  <si>
    <t xml:space="preserve"> 2.40</t>
  </si>
  <si>
    <t xml:space="preserve"> 2.41</t>
  </si>
  <si>
    <t xml:space="preserve"> 2.42</t>
  </si>
  <si>
    <t xml:space="preserve"> 2.43</t>
  </si>
  <si>
    <t xml:space="preserve"> 2.44</t>
  </si>
  <si>
    <t xml:space="preserve"> 2.45</t>
  </si>
  <si>
    <t xml:space="preserve"> 2.46</t>
  </si>
  <si>
    <t xml:space="preserve"> 2.47</t>
  </si>
  <si>
    <t xml:space="preserve"> 2.48</t>
  </si>
  <si>
    <t xml:space="preserve"> 2.49</t>
  </si>
  <si>
    <t xml:space="preserve"> 2.50</t>
  </si>
  <si>
    <t xml:space="preserve"> 2.51</t>
  </si>
  <si>
    <t xml:space="preserve"> 2.52</t>
  </si>
  <si>
    <t xml:space="preserve"> 2.53</t>
  </si>
  <si>
    <t xml:space="preserve"> 2.54</t>
  </si>
  <si>
    <t xml:space="preserve"> 2.55</t>
  </si>
  <si>
    <t xml:space="preserve"> 2.56</t>
  </si>
  <si>
    <t xml:space="preserve"> 2.57</t>
  </si>
  <si>
    <t xml:space="preserve"> 2.58</t>
  </si>
  <si>
    <t xml:space="preserve"> 2.59</t>
  </si>
  <si>
    <t xml:space="preserve"> 2.60</t>
  </si>
  <si>
    <t xml:space="preserve"> 2.61</t>
  </si>
  <si>
    <t xml:space="preserve"> 2.62</t>
  </si>
  <si>
    <t xml:space="preserve"> 2.63</t>
  </si>
  <si>
    <t xml:space="preserve"> 2.64</t>
  </si>
  <si>
    <t xml:space="preserve">BACIA SANITÁRIA (VASO) SIFONADO INFANTIL LOUCA BRANCA  </t>
  </si>
  <si>
    <t>VALOR TOTAL DO LOTE</t>
  </si>
  <si>
    <t>LOTE3 - Madeiras</t>
  </si>
  <si>
    <t>LOTE 4 - MATERIAL PARA PINTURA</t>
  </si>
  <si>
    <t>LOTE 02 MATERIAL HIDROSSANITÁRIO -  SECRETARIAS</t>
  </si>
  <si>
    <t>LOTE 03 -  MADEIRAS -  SECRETARIAS</t>
  </si>
  <si>
    <t>Valor do Lote por Secretaria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</si>
  <si>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</si>
  <si>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</si>
  <si>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</si>
  <si>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</si>
  <si>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</si>
  <si>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</si>
  <si>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</si>
  <si>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</si>
  <si>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</si>
  <si>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</si>
  <si>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</si>
  <si>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</si>
  <si>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</si>
  <si>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</si>
  <si>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</si>
  <si>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</si>
  <si>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</si>
  <si>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</si>
  <si>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</si>
  <si>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</si>
  <si>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</si>
  <si>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</si>
  <si>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</si>
  <si>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</si>
  <si>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</si>
  <si>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</si>
  <si>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</si>
  <si>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</si>
  <si>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</si>
  <si>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</si>
  <si>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</si>
  <si>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</si>
  <si>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</si>
  <si>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</si>
  <si>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</si>
  <si>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</si>
  <si>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</si>
  <si>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</si>
  <si>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</si>
  <si>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</si>
  <si>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</si>
  <si>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</si>
  <si>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</si>
  <si>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</si>
  <si>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</si>
  <si>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</si>
  <si>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</si>
  <si>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</si>
  <si>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</si>
  <si>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</si>
  <si>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</si>
  <si>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</si>
  <si>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</si>
  <si>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</si>
  <si>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</si>
  <si>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</si>
  <si>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</si>
  <si>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</si>
  <si>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</si>
  <si>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</si>
  <si>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</si>
  <si>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</si>
  <si>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</si>
  <si>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</si>
  <si>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</si>
  <si>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</si>
  <si>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</si>
  <si>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</si>
  <si>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</si>
  <si>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</si>
  <si>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</si>
  <si>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</si>
  <si>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</si>
  <si>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</si>
  <si>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</si>
  <si>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</si>
  <si>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</si>
  <si>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</si>
  <si>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</si>
  <si>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</si>
  <si>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</si>
  <si>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</si>
  <si>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</si>
  <si>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</si>
  <si>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</si>
  <si>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</si>
  <si>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</si>
  <si>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</si>
  <si>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</si>
  <si>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</si>
  <si>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</si>
  <si>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</si>
  <si>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</si>
  <si>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</si>
  <si>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</si>
  <si>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</si>
  <si>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</si>
  <si>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</si>
  <si>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</si>
  <si>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</si>
  <si>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</si>
  <si>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</si>
  <si>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</si>
  <si>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</si>
  <si>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</si>
  <si>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</si>
  <si>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</si>
  <si>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</si>
  <si>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</si>
  <si>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</si>
  <si>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</si>
  <si>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</si>
  <si>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</si>
  <si>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</si>
  <si>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</si>
  <si>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</si>
  <si>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</si>
  <si>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</si>
  <si>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</si>
  <si>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</si>
  <si>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</si>
  <si>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</si>
  <si>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</si>
  <si>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</si>
  <si>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</si>
  <si>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</si>
  <si>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</si>
  <si>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</si>
  <si>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</si>
  <si>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</si>
  <si>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</si>
  <si>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</si>
  <si>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</si>
  <si>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</si>
  <si>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</si>
  <si>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</si>
  <si>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</si>
  <si>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</si>
  <si>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</si>
  <si>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</si>
  <si>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</si>
  <si>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</si>
  <si>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</si>
  <si>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</si>
  <si>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</si>
  <si>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</si>
  <si>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</si>
  <si>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</si>
  <si>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</si>
  <si>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</si>
  <si>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</si>
  <si>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</si>
  <si>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</si>
  <si>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</si>
  <si>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</si>
  <si>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</si>
  <si>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</si>
  <si>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</si>
  <si>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</si>
  <si>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</si>
  <si>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</si>
  <si>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</si>
  <si>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</si>
  <si>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</si>
  <si>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</si>
  <si>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</si>
  <si>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</si>
  <si>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</si>
  <si>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</si>
  <si>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</si>
  <si>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</si>
  <si>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</si>
  <si>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</si>
  <si>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</si>
  <si>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</si>
  <si>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</si>
  <si>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1.177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</si>
  <si>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</si>
  <si>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</si>
  <si>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</si>
  <si>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</si>
  <si>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</si>
  <si>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</si>
  <si>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</si>
  <si>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</si>
  <si>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</si>
  <si>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</si>
  <si>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</si>
  <si>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</si>
  <si>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</si>
  <si>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</si>
  <si>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</si>
  <si>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</si>
  <si>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</si>
  <si>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PREFEITURA MUNICIPAL DE SÃO JOAQUIM / SC -  CATÁLOGO DE MATERIAIS DE CONSTRUÇÃO PARA MANUTENÇÃO E PEQUENAS REFORMAS  - 2020</t>
  </si>
  <si>
    <t>Preço Médio</t>
  </si>
  <si>
    <t>ESTIMATIVA DE QUANTIDADES POR SECRETARIA/FUNDO</t>
  </si>
  <si>
    <t>COTAÇÕES FORNECEDORES LOCAIS/INTERNET E/OU TABELA SINAPI FEV/2020</t>
  </si>
  <si>
    <t>materiais manutenção /pequenas reformas prediais 2020 -  - DADOS  PARA REGISTRO DE PREÇO</t>
  </si>
  <si>
    <t xml:space="preserve"> 2.3</t>
  </si>
  <si>
    <t xml:space="preserve"> 2.4</t>
  </si>
  <si>
    <t xml:space="preserve"> 2.18</t>
  </si>
  <si>
    <t xml:space="preserve"> 2.22</t>
  </si>
  <si>
    <t xml:space="preserve"> 2.26</t>
  </si>
  <si>
    <t xml:space="preserve">Meia cana de madeira eucalipto tratado </t>
  </si>
  <si>
    <t>LOTE 04 MATERIAL PARA PINTURA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</si>
  <si>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</si>
  <si>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</si>
  <si>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</si>
  <si>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</si>
  <si>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</si>
  <si>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</si>
  <si>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</si>
  <si>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</si>
  <si>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</si>
  <si>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</si>
  <si>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</si>
  <si>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</si>
  <si>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</si>
  <si>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</si>
  <si>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</si>
  <si>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</si>
  <si>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</si>
  <si>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</si>
  <si>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</si>
  <si>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</si>
  <si>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</si>
  <si>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</si>
  <si>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</si>
  <si>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</si>
  <si>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</si>
  <si>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</si>
  <si>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</si>
  <si>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</si>
  <si>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</si>
  <si>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</si>
  <si>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</si>
  <si>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</si>
  <si>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</si>
  <si>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</si>
  <si>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</si>
  <si>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</si>
  <si>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</si>
  <si>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</si>
  <si>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</si>
  <si>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</si>
  <si>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</si>
  <si>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</si>
  <si>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</si>
  <si>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</si>
  <si>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</si>
  <si>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</si>
  <si>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</si>
  <si>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</si>
  <si>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</si>
  <si>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</si>
  <si>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</si>
  <si>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</si>
  <si>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</si>
  <si>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</si>
  <si>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</si>
  <si>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</si>
  <si>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</si>
  <si>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</si>
  <si>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</si>
  <si>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</si>
  <si>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</si>
  <si>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</si>
  <si>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</si>
  <si>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</si>
  <si>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</si>
  <si>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</si>
  <si>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</si>
  <si>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</si>
  <si>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</si>
  <si>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</si>
  <si>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</si>
  <si>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</si>
  <si>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</si>
  <si>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</si>
  <si>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</si>
  <si>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</si>
  <si>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</si>
  <si>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</si>
  <si>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</si>
  <si>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</si>
  <si>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</si>
  <si>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</si>
  <si>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</si>
  <si>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</si>
  <si>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</si>
  <si>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</si>
  <si>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</si>
  <si>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</si>
  <si>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</si>
  <si>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</si>
  <si>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</si>
  <si>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</si>
  <si>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</si>
  <si>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</si>
  <si>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</si>
  <si>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</si>
  <si>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</si>
  <si>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</si>
  <si>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</si>
  <si>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</si>
  <si>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</si>
  <si>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</si>
  <si>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</si>
  <si>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</si>
  <si>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</si>
  <si>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</si>
  <si>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</si>
  <si>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</si>
  <si>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</si>
  <si>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</si>
  <si>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</si>
  <si>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</si>
  <si>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</si>
  <si>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</si>
  <si>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</si>
  <si>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</si>
  <si>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</si>
  <si>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</si>
  <si>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</si>
  <si>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</si>
  <si>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</si>
  <si>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</si>
  <si>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</si>
  <si>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</si>
  <si>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</si>
  <si>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</si>
  <si>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</si>
  <si>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</si>
  <si>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</si>
  <si>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</si>
  <si>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</si>
  <si>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</si>
  <si>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</si>
  <si>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</si>
  <si>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</si>
  <si>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</si>
  <si>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</si>
  <si>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</si>
  <si>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</si>
  <si>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</si>
  <si>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</si>
  <si>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</si>
  <si>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</si>
  <si>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</si>
  <si>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</si>
  <si>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</si>
  <si>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</si>
  <si>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</si>
  <si>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</si>
  <si>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</si>
  <si>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</si>
  <si>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</si>
  <si>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</si>
  <si>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</si>
  <si>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</si>
  <si>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</si>
  <si>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</si>
  <si>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</si>
  <si>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</si>
  <si>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</si>
  <si>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</si>
  <si>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</si>
  <si>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</si>
  <si>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</si>
  <si>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</si>
  <si>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</si>
  <si>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</si>
  <si>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</si>
  <si>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</si>
  <si>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</si>
  <si>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</si>
  <si>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</si>
  <si>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</si>
  <si>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</si>
  <si>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</si>
  <si>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</si>
  <si>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</si>
  <si>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</si>
  <si>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</si>
  <si>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</si>
  <si>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</si>
  <si>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</si>
  <si>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</si>
  <si>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</si>
  <si>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</si>
  <si>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</si>
  <si>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</si>
  <si>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</si>
  <si>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</si>
  <si>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</si>
  <si>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</si>
  <si>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</si>
  <si>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</si>
  <si>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</si>
  <si>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</si>
  <si>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</si>
  <si>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</si>
  <si>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</si>
  <si>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</si>
  <si>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</si>
  <si>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</si>
  <si>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</si>
  <si>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</si>
  <si>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</si>
  <si>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</si>
  <si>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</si>
  <si>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</si>
  <si>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</si>
  <si>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</si>
  <si>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</si>
  <si>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</si>
  <si>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</si>
  <si>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</si>
  <si>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</si>
  <si>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</si>
  <si>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</si>
  <si>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</si>
  <si>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</si>
  <si>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</si>
  <si>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</si>
  <si>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</si>
  <si>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</si>
  <si>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</si>
  <si>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</si>
  <si>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</si>
  <si>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</si>
  <si>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</si>
  <si>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</si>
  <si>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</si>
  <si>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</si>
  <si>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</si>
  <si>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</si>
  <si>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</si>
  <si>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</si>
  <si>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</si>
  <si>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</si>
  <si>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</si>
  <si>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</si>
  <si>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</si>
  <si>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</si>
  <si>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</si>
  <si>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</si>
  <si>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</si>
  <si>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</si>
  <si>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</si>
  <si>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</si>
  <si>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</si>
  <si>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</si>
  <si>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</si>
  <si>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</si>
  <si>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</si>
  <si>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</si>
  <si>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</si>
  <si>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</si>
  <si>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</si>
  <si>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</si>
  <si>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</si>
  <si>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</si>
  <si>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</si>
  <si>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</si>
  <si>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</si>
  <si>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</si>
  <si>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</si>
  <si>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</si>
  <si>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5.225</t>
  </si>
  <si>
    <t>5.226</t>
  </si>
  <si>
    <t>5.227</t>
  </si>
  <si>
    <t>5.228</t>
  </si>
  <si>
    <t>5.229</t>
  </si>
  <si>
    <t>5.230</t>
  </si>
  <si>
    <t>5.231</t>
  </si>
  <si>
    <t>5.232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</si>
  <si>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</si>
  <si>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</si>
  <si>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</si>
  <si>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</si>
  <si>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</si>
  <si>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</si>
  <si>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</si>
  <si>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</si>
  <si>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</si>
  <si>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5.242</t>
  </si>
  <si>
    <t>5.243</t>
  </si>
  <si>
    <t>5.244</t>
  </si>
  <si>
    <t>5.245</t>
  </si>
  <si>
    <t>5.246</t>
  </si>
  <si>
    <t>5.247</t>
  </si>
  <si>
    <t>5.248</t>
  </si>
  <si>
    <t>5.249</t>
  </si>
  <si>
    <t>5.250</t>
  </si>
  <si>
    <t>5.251</t>
  </si>
  <si>
    <t>5.252</t>
  </si>
  <si>
    <t>5.253</t>
  </si>
  <si>
    <t>5.254</t>
  </si>
  <si>
    <t>5.255</t>
  </si>
  <si>
    <t>5.256</t>
  </si>
  <si>
    <t>5.257</t>
  </si>
  <si>
    <t>5.258</t>
  </si>
  <si>
    <t>5.259</t>
  </si>
  <si>
    <t>5.260</t>
  </si>
  <si>
    <t>5.261</t>
  </si>
  <si>
    <t>5.262</t>
  </si>
  <si>
    <t>5.263</t>
  </si>
  <si>
    <t>5.264</t>
  </si>
  <si>
    <t>5.265</t>
  </si>
  <si>
    <t>5.266</t>
  </si>
  <si>
    <t>5.267</t>
  </si>
  <si>
    <t>5.268</t>
  </si>
  <si>
    <t>5.269</t>
  </si>
  <si>
    <t>5.270</t>
  </si>
  <si>
    <t>5.271</t>
  </si>
  <si>
    <t>5.272</t>
  </si>
  <si>
    <t>5.273</t>
  </si>
  <si>
    <t>5.274</t>
  </si>
  <si>
    <t>5.275</t>
  </si>
  <si>
    <t>5.276</t>
  </si>
  <si>
    <t>5.277</t>
  </si>
  <si>
    <t>5.278</t>
  </si>
  <si>
    <t>5.279</t>
  </si>
  <si>
    <t>5.280</t>
  </si>
  <si>
    <t>5.281</t>
  </si>
  <si>
    <t>5.282</t>
  </si>
  <si>
    <t>5.283</t>
  </si>
  <si>
    <t>5.284</t>
  </si>
  <si>
    <t>5.285</t>
  </si>
  <si>
    <t>5.286</t>
  </si>
  <si>
    <t>5.287</t>
  </si>
  <si>
    <t>5.288</t>
  </si>
  <si>
    <t>5.289</t>
  </si>
  <si>
    <t>5.290</t>
  </si>
  <si>
    <t>5.291</t>
  </si>
  <si>
    <t>5.292</t>
  </si>
  <si>
    <t>5.293</t>
  </si>
  <si>
    <t>5.294</t>
  </si>
  <si>
    <t>5.295</t>
  </si>
  <si>
    <t>5.296</t>
  </si>
  <si>
    <t>5.297</t>
  </si>
  <si>
    <t>5.298</t>
  </si>
  <si>
    <t>5.299</t>
  </si>
  <si>
    <t>5.300</t>
  </si>
  <si>
    <t>5.301</t>
  </si>
  <si>
    <t>5.302</t>
  </si>
  <si>
    <t>5.303</t>
  </si>
  <si>
    <t>5.304</t>
  </si>
  <si>
    <t>5.305</t>
  </si>
  <si>
    <t>5.306</t>
  </si>
  <si>
    <t>5.307</t>
  </si>
  <si>
    <t>5.308</t>
  </si>
  <si>
    <t>5.309</t>
  </si>
  <si>
    <t>5.310</t>
  </si>
  <si>
    <t>5.311</t>
  </si>
  <si>
    <t>5.312</t>
  </si>
  <si>
    <t>5.313</t>
  </si>
  <si>
    <t>5.314</t>
  </si>
  <si>
    <t>5.315</t>
  </si>
  <si>
    <t>5.316</t>
  </si>
  <si>
    <t>5.317</t>
  </si>
  <si>
    <t>5.318</t>
  </si>
  <si>
    <t>5.319</t>
  </si>
  <si>
    <t>5.320</t>
  </si>
  <si>
    <t>5.321</t>
  </si>
  <si>
    <t>5.322</t>
  </si>
  <si>
    <t>5.323</t>
  </si>
  <si>
    <t>5.324</t>
  </si>
  <si>
    <t>5.325</t>
  </si>
  <si>
    <t>5.326</t>
  </si>
  <si>
    <t>5.327</t>
  </si>
  <si>
    <t>5.328</t>
  </si>
  <si>
    <t>5.329</t>
  </si>
  <si>
    <t>5.330</t>
  </si>
  <si>
    <t>5.331</t>
  </si>
  <si>
    <t>5.332</t>
  </si>
  <si>
    <t>5.333</t>
  </si>
  <si>
    <t>5.334</t>
  </si>
  <si>
    <t>5.335</t>
  </si>
  <si>
    <t>5.336</t>
  </si>
  <si>
    <t>5.337</t>
  </si>
  <si>
    <t>5.338</t>
  </si>
  <si>
    <t>5.339</t>
  </si>
  <si>
    <t>5.340</t>
  </si>
  <si>
    <t>5.341</t>
  </si>
  <si>
    <t>5.342</t>
  </si>
  <si>
    <t>5.343</t>
  </si>
  <si>
    <t>5.344</t>
  </si>
  <si>
    <t>5.345</t>
  </si>
  <si>
    <t>5.346</t>
  </si>
  <si>
    <t>5.347</t>
  </si>
  <si>
    <t>5.348</t>
  </si>
  <si>
    <t>5.349</t>
  </si>
  <si>
    <t>5.350</t>
  </si>
  <si>
    <t>5.351</t>
  </si>
  <si>
    <t>5.352</t>
  </si>
  <si>
    <t>5.353</t>
  </si>
  <si>
    <t>5.354</t>
  </si>
  <si>
    <t>5.355</t>
  </si>
  <si>
    <t>5.356</t>
  </si>
  <si>
    <t>5.357</t>
  </si>
  <si>
    <t>5.358</t>
  </si>
  <si>
    <t>5.359</t>
  </si>
  <si>
    <t>5.360</t>
  </si>
  <si>
    <t>5.361</t>
  </si>
  <si>
    <t>5.362</t>
  </si>
  <si>
    <t>5.363</t>
  </si>
  <si>
    <t>5.364</t>
  </si>
  <si>
    <t>5.365</t>
  </si>
  <si>
    <t>5.366</t>
  </si>
  <si>
    <t>5.367</t>
  </si>
  <si>
    <t>5.368</t>
  </si>
  <si>
    <t>5.369</t>
  </si>
  <si>
    <t>5.370</t>
  </si>
  <si>
    <t>5.371</t>
  </si>
  <si>
    <t>5.372</t>
  </si>
  <si>
    <t>5.373</t>
  </si>
  <si>
    <t>5.374</t>
  </si>
  <si>
    <t>5.375</t>
  </si>
  <si>
    <t>5.376</t>
  </si>
  <si>
    <t>5.377</t>
  </si>
  <si>
    <t>5.378</t>
  </si>
  <si>
    <t>5.379</t>
  </si>
  <si>
    <t>5.380</t>
  </si>
  <si>
    <t>5.381</t>
  </si>
  <si>
    <t>5.382</t>
  </si>
  <si>
    <t>5.383</t>
  </si>
  <si>
    <t>5.384</t>
  </si>
  <si>
    <t>5.385</t>
  </si>
  <si>
    <t>5.386</t>
  </si>
  <si>
    <t>5.387</t>
  </si>
  <si>
    <t>5.388</t>
  </si>
  <si>
    <t>5.389</t>
  </si>
  <si>
    <t>5.390</t>
  </si>
  <si>
    <t>5.391</t>
  </si>
  <si>
    <t>5.392</t>
  </si>
  <si>
    <t>5.393</t>
  </si>
  <si>
    <t>5.394</t>
  </si>
  <si>
    <t>5.395</t>
  </si>
  <si>
    <t>5.396</t>
  </si>
  <si>
    <t>5.397</t>
  </si>
  <si>
    <t>5.398</t>
  </si>
  <si>
    <t>5.399</t>
  </si>
  <si>
    <t>5.400</t>
  </si>
  <si>
    <t>5.401</t>
  </si>
  <si>
    <t>5.402</t>
  </si>
  <si>
    <t>LOTE 5 - MATERIAL PESADO, FERRAGENS, ABERTURAS, FERRAMENTAS E DEMAIS MATERIAIS PARA OBRAS</t>
  </si>
  <si>
    <t>LOTE 5 - MATERIAL PESADO, FERRAGENS, ABERTURAS, FERRAMENTAS E DEMAIS MATERIAIS PARA OBRAS - Secretarias</t>
  </si>
  <si>
    <t>VALOR DO LOTE POR SECRETARIA/FUNDO</t>
  </si>
  <si>
    <t>valor TOTAL do lote</t>
  </si>
  <si>
    <t xml:space="preserve">Admin.  (08) </t>
  </si>
  <si>
    <t xml:space="preserve">Ass. Social (03)                </t>
  </si>
  <si>
    <t xml:space="preserve">Educação (02)                      </t>
  </si>
  <si>
    <t xml:space="preserve">Obras  (08)                    </t>
  </si>
  <si>
    <t xml:space="preserve">Saúde (02)                </t>
  </si>
  <si>
    <t>LOTES</t>
  </si>
  <si>
    <t>VALORES TOTAIS POR SECRETARIA</t>
  </si>
  <si>
    <t>PREFEITURA MUNICIPAL DE SÃO JOAQUIM / SC    -    SECRETARIA MUNICIPAL DE ADMINISTRAÇÃO                                                       CONSOLIDAÇÃO PLANILHAS DE MATERIAIS DE CONSTRUÇÃO PARA MANUTENÇÃO E PEQUENAS REFORMAS  - 2020</t>
  </si>
  <si>
    <t>Observações:</t>
  </si>
  <si>
    <t>Os valores estimados  representam a média ou mediana dos preços cotados através de consulta a fornecedores ou sites de  lojas afins ou, ainda, por preços da Tabela SINAPI /SC de Fevereiro/2020.</t>
  </si>
  <si>
    <t xml:space="preserve">Nem todos os itens constantes  nas tabelas (que formam o catálogo de materiais de construção da Prefeitura) foram solicitados pelas Secretarias para 2020, como pode se observar pelo valor quantitativo dos mesmos (igual a zero). Entretanto, havendo necessidade de compra de alguns desses itens, será usado como valor de referência  o que estiver vigente da Tabela SINAPI/SC, seguindo-se os demais procedimentos definidos em Edital. </t>
  </si>
  <si>
    <t>1.</t>
  </si>
  <si>
    <t>2.</t>
  </si>
  <si>
    <t>3.</t>
  </si>
  <si>
    <t>Outros itens necessários e não constantes no Catálogo poderão ser adquiridos do(s) fornecedor(es) detentor(es) da Ata de Registro de Preços do Lote correspondente, usando-se tambem como referência de preços a Tabela SINAPI/SC mais recente o, alternativamente, a média de 03 orçamentos  obtidos  por ocasião do pedido.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</si>
</sst>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"/>
    <numFmt numFmtId="165" formatCode="&quot;R$&quot;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4"/>
      <name val="Cambria"/>
      <family val="1"/>
      <scheme val="major"/>
    </font>
    <font>
      <sz val="14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442"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/>
    <xf numFmtId="0" fontId="0" fillId="0" borderId="0" xfId="0" applyFill="1" applyBorder="1"/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8" fillId="7" borderId="1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/>
    </xf>
    <xf numFmtId="0" fontId="9" fillId="7" borderId="2" xfId="0" applyFont="1" applyFill="1" applyBorder="1"/>
    <xf numFmtId="0" fontId="5" fillId="7" borderId="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5" fillId="6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4" fontId="16" fillId="0" borderId="2" xfId="0" applyNumberFormat="1" applyFont="1" applyFill="1" applyBorder="1"/>
    <xf numFmtId="4" fontId="16" fillId="0" borderId="3" xfId="0" applyNumberFormat="1" applyFont="1" applyFill="1" applyBorder="1"/>
    <xf numFmtId="4" fontId="16" fillId="0" borderId="0" xfId="0" applyNumberFormat="1" applyFont="1" applyFill="1" applyBorder="1"/>
    <xf numFmtId="0" fontId="16" fillId="0" borderId="0" xfId="0" applyFont="1" applyFill="1"/>
    <xf numFmtId="0" fontId="9" fillId="8" borderId="2" xfId="0" applyFont="1" applyFill="1" applyBorder="1" applyAlignment="1">
      <alignment horizontal="center" vertical="center"/>
    </xf>
    <xf numFmtId="0" fontId="5" fillId="8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3" fontId="5" fillId="11" borderId="2" xfId="0" applyNumberFormat="1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0" fontId="9" fillId="10" borderId="2" xfId="0" applyNumberFormat="1" applyFont="1" applyFill="1" applyBorder="1" applyAlignment="1">
      <alignment horizontal="center" vertical="center"/>
    </xf>
    <xf numFmtId="0" fontId="13" fillId="10" borderId="2" xfId="0" applyNumberFormat="1" applyFont="1" applyFill="1" applyBorder="1" applyAlignment="1">
      <alignment horizontal="center" vertical="center"/>
    </xf>
    <xf numFmtId="0" fontId="5" fillId="10" borderId="2" xfId="0" applyNumberFormat="1" applyFont="1" applyFill="1" applyBorder="1" applyAlignment="1">
      <alignment horizontal="center" vertical="center"/>
    </xf>
    <xf numFmtId="0" fontId="5" fillId="10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7" borderId="12" xfId="0" applyFont="1" applyFill="1" applyBorder="1"/>
    <xf numFmtId="4" fontId="24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8" fillId="8" borderId="12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0" fillId="0" borderId="0" xfId="0" applyNumberFormat="1" applyFill="1"/>
    <xf numFmtId="4" fontId="9" fillId="8" borderId="2" xfId="0" applyNumberFormat="1" applyFont="1" applyFill="1" applyBorder="1" applyAlignment="1">
      <alignment horizontal="center" vertical="center"/>
    </xf>
    <xf numFmtId="4" fontId="9" fillId="11" borderId="2" xfId="0" applyNumberFormat="1" applyFont="1" applyFill="1" applyBorder="1" applyAlignment="1">
      <alignment horizontal="center" vertical="center"/>
    </xf>
    <xf numFmtId="4" fontId="9" fillId="10" borderId="2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9" fillId="9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/>
    <xf numFmtId="0" fontId="1" fillId="0" borderId="0" xfId="0" applyFont="1" applyFill="1"/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4" fontId="26" fillId="6" borderId="2" xfId="0" applyNumberFormat="1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4" fontId="26" fillId="8" borderId="2" xfId="0" applyNumberFormat="1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center" vertical="center"/>
    </xf>
    <xf numFmtId="4" fontId="26" fillId="11" borderId="2" xfId="0" applyNumberFormat="1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 wrapText="1"/>
    </xf>
    <xf numFmtId="4" fontId="26" fillId="10" borderId="2" xfId="0" applyNumberFormat="1" applyFont="1" applyFill="1" applyBorder="1" applyAlignment="1">
      <alignment horizontal="center" vertical="center"/>
    </xf>
    <xf numFmtId="4" fontId="26" fillId="5" borderId="2" xfId="0" applyNumberFormat="1" applyFont="1" applyFill="1" applyBorder="1" applyAlignment="1">
      <alignment horizontal="center" vertical="center"/>
    </xf>
    <xf numFmtId="4" fontId="26" fillId="9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0" fillId="0" borderId="0" xfId="0" applyFont="1" applyFill="1"/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/>
    </xf>
    <xf numFmtId="0" fontId="25" fillId="11" borderId="2" xfId="0" applyNumberFormat="1" applyFont="1" applyFill="1" applyBorder="1" applyAlignment="1">
      <alignment horizontal="center" vertical="center"/>
    </xf>
    <xf numFmtId="0" fontId="26" fillId="10" borderId="2" xfId="0" applyNumberFormat="1" applyFont="1" applyFill="1" applyBorder="1" applyAlignment="1">
      <alignment horizontal="center" vertical="center"/>
    </xf>
    <xf numFmtId="0" fontId="26" fillId="5" borderId="2" xfId="0" applyNumberFormat="1" applyFont="1" applyFill="1" applyBorder="1" applyAlignment="1">
      <alignment horizontal="center" vertical="center"/>
    </xf>
    <xf numFmtId="0" fontId="26" fillId="6" borderId="2" xfId="0" applyNumberFormat="1" applyFont="1" applyFill="1" applyBorder="1" applyAlignment="1">
      <alignment horizontal="center" vertical="center"/>
    </xf>
    <xf numFmtId="165" fontId="26" fillId="0" borderId="2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5" fontId="27" fillId="0" borderId="2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26" fillId="8" borderId="2" xfId="0" applyFont="1" applyFill="1" applyBorder="1" applyAlignment="1">
      <alignment horizontal="center" vertical="center"/>
    </xf>
    <xf numFmtId="0" fontId="26" fillId="11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3" fontId="3" fillId="6" borderId="2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165" fontId="3" fillId="11" borderId="2" xfId="0" applyNumberFormat="1" applyFont="1" applyFill="1" applyBorder="1" applyAlignment="1">
      <alignment horizontal="center"/>
    </xf>
    <xf numFmtId="3" fontId="3" fillId="11" borderId="2" xfId="0" applyNumberFormat="1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3" fontId="3" fillId="10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9" fillId="8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" fontId="9" fillId="9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8" borderId="0" xfId="0" applyFill="1"/>
    <xf numFmtId="0" fontId="0" fillId="8" borderId="0" xfId="0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9" fillId="7" borderId="0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top"/>
    </xf>
    <xf numFmtId="0" fontId="0" fillId="0" borderId="7" xfId="0" applyBorder="1" applyAlignment="1">
      <alignment wrapText="1"/>
    </xf>
    <xf numFmtId="0" fontId="9" fillId="7" borderId="0" xfId="0" applyFont="1" applyFill="1" applyBorder="1" applyAlignment="1">
      <alignment horizontal="left" vertical="center" wrapText="1"/>
    </xf>
    <xf numFmtId="0" fontId="9" fillId="7" borderId="0" xfId="0" applyFont="1" applyFill="1" applyBorder="1"/>
    <xf numFmtId="0" fontId="9" fillId="7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9" fillId="11" borderId="0" xfId="0" applyFont="1" applyFill="1" applyBorder="1" applyAlignment="1">
      <alignment horizontal="center" vertical="center"/>
    </xf>
    <xf numFmtId="0" fontId="9" fillId="1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4" fontId="9" fillId="0" borderId="0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 wrapText="1"/>
    </xf>
    <xf numFmtId="0" fontId="5" fillId="9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0" fillId="9" borderId="2" xfId="0" applyFill="1" applyBorder="1"/>
    <xf numFmtId="0" fontId="5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10" borderId="2" xfId="0" applyFill="1" applyBorder="1"/>
    <xf numFmtId="0" fontId="5" fillId="11" borderId="2" xfId="0" applyNumberFormat="1" applyFont="1" applyFill="1" applyBorder="1" applyAlignment="1">
      <alignment horizontal="center" vertical="center"/>
    </xf>
    <xf numFmtId="0" fontId="0" fillId="11" borderId="2" xfId="0" applyFill="1" applyBorder="1"/>
    <xf numFmtId="0" fontId="7" fillId="9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7" fillId="10" borderId="2" xfId="0" applyNumberFormat="1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top"/>
    </xf>
    <xf numFmtId="0" fontId="0" fillId="10" borderId="2" xfId="0" applyFill="1" applyBorder="1" applyAlignment="1">
      <alignment vertical="top"/>
    </xf>
    <xf numFmtId="0" fontId="0" fillId="11" borderId="2" xfId="0" applyFill="1" applyBorder="1" applyAlignment="1">
      <alignment vertical="top"/>
    </xf>
    <xf numFmtId="0" fontId="13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vertical="top"/>
    </xf>
    <xf numFmtId="3" fontId="3" fillId="9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6" borderId="2" xfId="0" applyFill="1" applyBorder="1" applyAlignment="1">
      <alignment vertical="top"/>
    </xf>
    <xf numFmtId="165" fontId="3" fillId="6" borderId="2" xfId="0" applyNumberFormat="1" applyFont="1" applyFill="1" applyBorder="1" applyAlignment="1">
      <alignment horizontal="center"/>
    </xf>
    <xf numFmtId="4" fontId="9" fillId="9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8" xfId="0" applyBorder="1"/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0" fillId="0" borderId="15" xfId="0" applyBorder="1"/>
    <xf numFmtId="0" fontId="25" fillId="6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left"/>
    </xf>
    <xf numFmtId="0" fontId="0" fillId="8" borderId="2" xfId="0" applyFill="1" applyBorder="1"/>
    <xf numFmtId="0" fontId="0" fillId="8" borderId="2" xfId="0" applyFill="1" applyBorder="1" applyAlignment="1">
      <alignment wrapText="1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right"/>
    </xf>
    <xf numFmtId="0" fontId="9" fillId="8" borderId="12" xfId="0" applyFont="1" applyFill="1" applyBorder="1"/>
    <xf numFmtId="0" fontId="5" fillId="8" borderId="0" xfId="0" applyFont="1" applyFill="1" applyBorder="1" applyAlignment="1">
      <alignment horizontal="right" vertical="center" wrapText="1"/>
    </xf>
    <xf numFmtId="165" fontId="5" fillId="8" borderId="2" xfId="0" applyNumberFormat="1" applyFont="1" applyFill="1" applyBorder="1" applyAlignment="1">
      <alignment horizontal="right" vertical="center"/>
    </xf>
    <xf numFmtId="165" fontId="9" fillId="8" borderId="2" xfId="0" applyNumberFormat="1" applyFont="1" applyFill="1" applyBorder="1" applyAlignment="1">
      <alignment horizontal="right" vertical="center"/>
    </xf>
    <xf numFmtId="0" fontId="25" fillId="6" borderId="10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4" fontId="26" fillId="9" borderId="15" xfId="0" applyNumberFormat="1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center" vertical="center"/>
    </xf>
    <xf numFmtId="0" fontId="25" fillId="8" borderId="15" xfId="0" applyFont="1" applyFill="1" applyBorder="1" applyAlignment="1">
      <alignment horizontal="center" vertical="center"/>
    </xf>
    <xf numFmtId="0" fontId="25" fillId="11" borderId="15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4" fontId="26" fillId="9" borderId="10" xfId="0" applyNumberFormat="1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0" fillId="12" borderId="0" xfId="0" applyFill="1"/>
    <xf numFmtId="0" fontId="2" fillId="12" borderId="14" xfId="1" applyFill="1" applyBorder="1" applyAlignment="1">
      <alignment horizontal="center" vertical="center" wrapText="1"/>
    </xf>
    <xf numFmtId="0" fontId="2" fillId="12" borderId="14" xfId="1" applyFill="1" applyBorder="1" applyAlignment="1">
      <alignment horizontal="right" vertical="center" wrapText="1"/>
    </xf>
    <xf numFmtId="0" fontId="2" fillId="12" borderId="0" xfId="1" applyFill="1" applyBorder="1" applyAlignment="1">
      <alignment horizontal="center" vertical="center" wrapText="1"/>
    </xf>
    <xf numFmtId="0" fontId="2" fillId="12" borderId="20" xfId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Alignment="1">
      <alignment vertical="top"/>
    </xf>
    <xf numFmtId="4" fontId="9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4" fontId="9" fillId="0" borderId="3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4" fontId="2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26" fillId="0" borderId="0" xfId="0" applyNumberFormat="1" applyFont="1" applyFill="1" applyBorder="1" applyAlignment="1">
      <alignment horizontal="center" vertical="center"/>
    </xf>
    <xf numFmtId="4" fontId="0" fillId="0" borderId="3" xfId="0" applyNumberFormat="1" applyBorder="1"/>
    <xf numFmtId="0" fontId="0" fillId="0" borderId="16" xfId="0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4" fontId="0" fillId="0" borderId="2" xfId="0" applyNumberFormat="1" applyFill="1" applyBorder="1"/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26" fillId="0" borderId="0" xfId="0" applyNumberFormat="1" applyFont="1" applyFill="1" applyBorder="1" applyAlignment="1">
      <alignment horizontal="center" vertical="center"/>
    </xf>
    <xf numFmtId="0" fontId="3" fillId="6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0" xfId="0" applyNumberFormat="1" applyFont="1" applyFill="1" applyBorder="1" applyAlignment="1">
      <alignment horizontal="center" vertical="center"/>
    </xf>
    <xf numFmtId="0" fontId="3" fillId="10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4" fontId="9" fillId="11" borderId="2" xfId="0" applyNumberFormat="1" applyFont="1" applyFill="1" applyBorder="1" applyAlignment="1">
      <alignment horizontal="center" vertical="center" wrapText="1"/>
    </xf>
    <xf numFmtId="4" fontId="9" fillId="8" borderId="2" xfId="0" applyNumberFormat="1" applyFont="1" applyFill="1" applyBorder="1" applyAlignment="1">
      <alignment horizontal="right" vertical="center"/>
    </xf>
    <xf numFmtId="4" fontId="7" fillId="10" borderId="2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7" fillId="9" borderId="2" xfId="0" applyNumberFormat="1" applyFont="1" applyFill="1" applyBorder="1" applyAlignment="1">
      <alignment horizontal="center" vertical="center" wrapText="1"/>
    </xf>
    <xf numFmtId="4" fontId="2" fillId="12" borderId="0" xfId="1" applyNumberFormat="1" applyFill="1" applyBorder="1" applyAlignment="1">
      <alignment horizontal="right" vertical="center" wrapText="1"/>
    </xf>
    <xf numFmtId="4" fontId="9" fillId="11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11" borderId="2" xfId="0" applyNumberFormat="1" applyFill="1" applyBorder="1" applyAlignment="1">
      <alignment horizontal="right"/>
    </xf>
    <xf numFmtId="4" fontId="26" fillId="5" borderId="2" xfId="0" applyNumberFormat="1" applyFont="1" applyFill="1" applyBorder="1" applyAlignment="1">
      <alignment horizontal="right" vertical="center"/>
    </xf>
    <xf numFmtId="4" fontId="26" fillId="5" borderId="0" xfId="0" applyNumberFormat="1" applyFont="1" applyFill="1" applyBorder="1" applyAlignment="1">
      <alignment horizontal="right" vertical="center"/>
    </xf>
    <xf numFmtId="4" fontId="26" fillId="5" borderId="10" xfId="0" applyNumberFormat="1" applyFont="1" applyFill="1" applyBorder="1" applyAlignment="1">
      <alignment horizontal="right" vertical="center"/>
    </xf>
    <xf numFmtId="4" fontId="26" fillId="5" borderId="15" xfId="0" applyNumberFormat="1" applyFont="1" applyFill="1" applyBorder="1" applyAlignment="1">
      <alignment horizontal="right" vertical="center"/>
    </xf>
    <xf numFmtId="4" fontId="26" fillId="5" borderId="1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4" fontId="0" fillId="8" borderId="0" xfId="0" applyNumberFormat="1" applyFill="1" applyAlignment="1">
      <alignment horizontal="right"/>
    </xf>
    <xf numFmtId="4" fontId="9" fillId="5" borderId="0" xfId="0" applyNumberFormat="1" applyFont="1" applyFill="1" applyBorder="1" applyAlignment="1">
      <alignment horizontal="right" vertical="center"/>
    </xf>
    <xf numFmtId="4" fontId="7" fillId="10" borderId="2" xfId="0" applyNumberFormat="1" applyFont="1" applyFill="1" applyBorder="1" applyAlignment="1">
      <alignment horizontal="right" vertical="center" wrapText="1"/>
    </xf>
    <xf numFmtId="4" fontId="0" fillId="10" borderId="2" xfId="0" applyNumberFormat="1" applyFill="1" applyBorder="1" applyAlignment="1">
      <alignment horizontal="right"/>
    </xf>
    <xf numFmtId="4" fontId="26" fillId="10" borderId="2" xfId="0" applyNumberFormat="1" applyFont="1" applyFill="1" applyBorder="1" applyAlignment="1">
      <alignment horizontal="right" vertical="center"/>
    </xf>
    <xf numFmtId="4" fontId="26" fillId="10" borderId="0" xfId="0" applyNumberFormat="1" applyFont="1" applyFill="1" applyBorder="1" applyAlignment="1">
      <alignment horizontal="right" vertical="center"/>
    </xf>
    <xf numFmtId="4" fontId="26" fillId="10" borderId="10" xfId="0" applyNumberFormat="1" applyFont="1" applyFill="1" applyBorder="1" applyAlignment="1">
      <alignment horizontal="right" vertical="center"/>
    </xf>
    <xf numFmtId="4" fontId="26" fillId="10" borderId="15" xfId="0" applyNumberFormat="1" applyFont="1" applyFill="1" applyBorder="1" applyAlignment="1">
      <alignment horizontal="right" vertical="center"/>
    </xf>
    <xf numFmtId="4" fontId="26" fillId="10" borderId="12" xfId="0" applyNumberFormat="1" applyFont="1" applyFill="1" applyBorder="1" applyAlignment="1">
      <alignment horizontal="right" vertical="center"/>
    </xf>
    <xf numFmtId="4" fontId="9" fillId="10" borderId="0" xfId="0" applyNumberFormat="1" applyFont="1" applyFill="1" applyBorder="1" applyAlignment="1">
      <alignment horizontal="right" vertical="center"/>
    </xf>
    <xf numFmtId="4" fontId="7" fillId="5" borderId="2" xfId="0" applyNumberFormat="1" applyFont="1" applyFill="1" applyBorder="1" applyAlignment="1">
      <alignment horizontal="right" vertical="center" wrapText="1"/>
    </xf>
    <xf numFmtId="4" fontId="0" fillId="5" borderId="2" xfId="0" applyNumberFormat="1" applyFill="1" applyBorder="1" applyAlignment="1">
      <alignment horizontal="right"/>
    </xf>
    <xf numFmtId="4" fontId="26" fillId="11" borderId="2" xfId="0" applyNumberFormat="1" applyFont="1" applyFill="1" applyBorder="1" applyAlignment="1">
      <alignment horizontal="right" vertical="center"/>
    </xf>
    <xf numFmtId="4" fontId="26" fillId="11" borderId="0" xfId="0" applyNumberFormat="1" applyFont="1" applyFill="1" applyBorder="1" applyAlignment="1">
      <alignment horizontal="right" vertical="center"/>
    </xf>
    <xf numFmtId="4" fontId="26" fillId="11" borderId="10" xfId="0" applyNumberFormat="1" applyFont="1" applyFill="1" applyBorder="1" applyAlignment="1">
      <alignment horizontal="right" vertical="center"/>
    </xf>
    <xf numFmtId="4" fontId="26" fillId="8" borderId="0" xfId="0" applyNumberFormat="1" applyFont="1" applyFill="1" applyBorder="1" applyAlignment="1">
      <alignment horizontal="right" vertical="center"/>
    </xf>
    <xf numFmtId="4" fontId="26" fillId="11" borderId="15" xfId="0" applyNumberFormat="1" applyFont="1" applyFill="1" applyBorder="1" applyAlignment="1">
      <alignment horizontal="right" vertical="center"/>
    </xf>
    <xf numFmtId="4" fontId="26" fillId="11" borderId="12" xfId="0" applyNumberFormat="1" applyFont="1" applyFill="1" applyBorder="1" applyAlignment="1">
      <alignment horizontal="right" vertical="center"/>
    </xf>
    <xf numFmtId="4" fontId="9" fillId="11" borderId="0" xfId="0" applyNumberFormat="1" applyFont="1" applyFill="1" applyBorder="1" applyAlignment="1">
      <alignment horizontal="right" vertical="center"/>
    </xf>
    <xf numFmtId="4" fontId="7" fillId="6" borderId="2" xfId="0" applyNumberFormat="1" applyFont="1" applyFill="1" applyBorder="1" applyAlignment="1">
      <alignment horizontal="right" vertical="center" wrapText="1"/>
    </xf>
    <xf numFmtId="4" fontId="0" fillId="6" borderId="2" xfId="0" applyNumberFormat="1" applyFill="1" applyBorder="1" applyAlignment="1">
      <alignment horizontal="right"/>
    </xf>
    <xf numFmtId="4" fontId="26" fillId="8" borderId="2" xfId="0" applyNumberFormat="1" applyFont="1" applyFill="1" applyBorder="1" applyAlignment="1">
      <alignment horizontal="right" vertical="center"/>
    </xf>
    <xf numFmtId="4" fontId="26" fillId="8" borderId="10" xfId="0" applyNumberFormat="1" applyFont="1" applyFill="1" applyBorder="1" applyAlignment="1">
      <alignment horizontal="right" vertical="center"/>
    </xf>
    <xf numFmtId="4" fontId="9" fillId="8" borderId="0" xfId="0" applyNumberFormat="1" applyFont="1" applyFill="1" applyBorder="1" applyAlignment="1">
      <alignment horizontal="right" vertical="center"/>
    </xf>
    <xf numFmtId="4" fontId="7" fillId="9" borderId="2" xfId="0" applyNumberFormat="1" applyFont="1" applyFill="1" applyBorder="1" applyAlignment="1">
      <alignment horizontal="right" vertical="center" wrapText="1"/>
    </xf>
    <xf numFmtId="4" fontId="26" fillId="6" borderId="2" xfId="0" applyNumberFormat="1" applyFont="1" applyFill="1" applyBorder="1" applyAlignment="1">
      <alignment horizontal="right" vertical="center"/>
    </xf>
    <xf numFmtId="4" fontId="26" fillId="0" borderId="2" xfId="0" applyNumberFormat="1" applyFont="1" applyFill="1" applyBorder="1" applyAlignment="1">
      <alignment horizontal="right" vertical="center"/>
    </xf>
    <xf numFmtId="4" fontId="26" fillId="6" borderId="15" xfId="0" applyNumberFormat="1" applyFont="1" applyFill="1" applyBorder="1" applyAlignment="1">
      <alignment horizontal="right" vertical="center"/>
    </xf>
    <xf numFmtId="4" fontId="26" fillId="6" borderId="10" xfId="0" applyNumberFormat="1" applyFont="1" applyFill="1" applyBorder="1" applyAlignment="1">
      <alignment horizontal="right" vertical="center"/>
    </xf>
    <xf numFmtId="4" fontId="26" fillId="6" borderId="12" xfId="0" applyNumberFormat="1" applyFont="1" applyFill="1" applyBorder="1" applyAlignment="1">
      <alignment horizontal="right" vertical="center"/>
    </xf>
    <xf numFmtId="4" fontId="9" fillId="6" borderId="0" xfId="0" applyNumberFormat="1" applyFont="1" applyFill="1" applyBorder="1" applyAlignment="1">
      <alignment horizontal="right" vertical="center"/>
    </xf>
    <xf numFmtId="4" fontId="0" fillId="0" borderId="17" xfId="0" applyNumberFormat="1" applyFill="1" applyBorder="1" applyAlignment="1">
      <alignment horizontal="right"/>
    </xf>
    <xf numFmtId="4" fontId="2" fillId="12" borderId="21" xfId="1" applyNumberFormat="1" applyFill="1" applyBorder="1" applyAlignment="1">
      <alignment horizontal="right" vertical="center" wrapText="1"/>
    </xf>
    <xf numFmtId="4" fontId="17" fillId="12" borderId="20" xfId="0" applyNumberFormat="1" applyFont="1" applyFill="1" applyBorder="1" applyAlignment="1">
      <alignment horizontal="right"/>
    </xf>
    <xf numFmtId="4" fontId="17" fillId="12" borderId="0" xfId="0" applyNumberFormat="1" applyFont="1" applyFill="1" applyBorder="1" applyAlignment="1">
      <alignment horizontal="right"/>
    </xf>
    <xf numFmtId="4" fontId="17" fillId="12" borderId="21" xfId="0" applyNumberFormat="1" applyFont="1" applyFill="1" applyBorder="1" applyAlignment="1">
      <alignment horizontal="right"/>
    </xf>
    <xf numFmtId="4" fontId="8" fillId="7" borderId="2" xfId="0" applyNumberFormat="1" applyFont="1" applyFill="1" applyBorder="1" applyAlignment="1">
      <alignment horizontal="right" vertical="center" wrapText="1"/>
    </xf>
    <xf numFmtId="4" fontId="16" fillId="7" borderId="2" xfId="0" applyNumberFormat="1" applyFont="1" applyFill="1" applyBorder="1" applyAlignment="1">
      <alignment horizontal="right"/>
    </xf>
    <xf numFmtId="4" fontId="16" fillId="7" borderId="2" xfId="0" applyNumberFormat="1" applyFont="1" applyFill="1" applyBorder="1" applyAlignment="1">
      <alignment horizontal="right" wrapText="1"/>
    </xf>
    <xf numFmtId="4" fontId="17" fillId="7" borderId="2" xfId="0" applyNumberFormat="1" applyFont="1" applyFill="1" applyBorder="1" applyAlignment="1">
      <alignment horizontal="right" wrapText="1"/>
    </xf>
    <xf numFmtId="4" fontId="0" fillId="7" borderId="2" xfId="0" applyNumberFormat="1" applyFill="1" applyBorder="1" applyAlignment="1">
      <alignment horizontal="right"/>
    </xf>
    <xf numFmtId="4" fontId="0" fillId="7" borderId="2" xfId="0" quotePrefix="1" applyNumberFormat="1" applyFill="1" applyBorder="1" applyAlignment="1">
      <alignment horizontal="right"/>
    </xf>
    <xf numFmtId="4" fontId="13" fillId="7" borderId="2" xfId="0" applyNumberFormat="1" applyFont="1" applyFill="1" applyBorder="1" applyAlignment="1">
      <alignment horizontal="right" vertical="center"/>
    </xf>
    <xf numFmtId="4" fontId="9" fillId="7" borderId="2" xfId="0" applyNumberFormat="1" applyFont="1" applyFill="1" applyBorder="1" applyAlignment="1">
      <alignment horizontal="right" vertical="center"/>
    </xf>
    <xf numFmtId="4" fontId="5" fillId="7" borderId="2" xfId="0" applyNumberFormat="1" applyFont="1" applyFill="1" applyBorder="1" applyAlignment="1">
      <alignment horizontal="right"/>
    </xf>
    <xf numFmtId="4" fontId="0" fillId="7" borderId="2" xfId="0" applyNumberFormat="1" applyFill="1" applyBorder="1" applyAlignment="1">
      <alignment horizontal="right" vertical="top"/>
    </xf>
    <xf numFmtId="4" fontId="10" fillId="7" borderId="2" xfId="0" applyNumberFormat="1" applyFont="1" applyFill="1" applyBorder="1" applyAlignment="1">
      <alignment horizontal="right" vertical="center"/>
    </xf>
    <xf numFmtId="4" fontId="0" fillId="8" borderId="2" xfId="0" applyNumberFormat="1" applyFill="1" applyBorder="1" applyAlignment="1">
      <alignment horizontal="right"/>
    </xf>
    <xf numFmtId="4" fontId="5" fillId="8" borderId="0" xfId="0" applyNumberFormat="1" applyFont="1" applyFill="1" applyBorder="1" applyAlignment="1">
      <alignment horizontal="right"/>
    </xf>
    <xf numFmtId="4" fontId="16" fillId="8" borderId="0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4" fontId="26" fillId="8" borderId="2" xfId="0" applyNumberFormat="1" applyFont="1" applyFill="1" applyBorder="1" applyAlignment="1">
      <alignment horizontal="right" vertical="center" wrapText="1"/>
    </xf>
    <xf numFmtId="4" fontId="16" fillId="8" borderId="2" xfId="0" applyNumberFormat="1" applyFont="1" applyFill="1" applyBorder="1" applyAlignment="1">
      <alignment horizontal="right"/>
    </xf>
    <xf numFmtId="4" fontId="0" fillId="8" borderId="15" xfId="0" applyNumberFormat="1" applyFill="1" applyBorder="1" applyAlignment="1">
      <alignment horizontal="right"/>
    </xf>
    <xf numFmtId="4" fontId="0" fillId="8" borderId="0" xfId="0" applyNumberFormat="1" applyFill="1" applyBorder="1" applyAlignment="1">
      <alignment horizontal="right"/>
    </xf>
    <xf numFmtId="4" fontId="0" fillId="8" borderId="3" xfId="0" applyNumberForma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/>
    </xf>
    <xf numFmtId="4" fontId="16" fillId="0" borderId="2" xfId="0" applyNumberFormat="1" applyFont="1" applyFill="1" applyBorder="1" applyAlignment="1">
      <alignment horizontal="right"/>
    </xf>
    <xf numFmtId="4" fontId="27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" fontId="16" fillId="0" borderId="0" xfId="0" quotePrefix="1" applyNumberFormat="1" applyFont="1" applyFill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9" fillId="9" borderId="2" xfId="0" applyNumberFormat="1" applyFont="1" applyFill="1" applyBorder="1" applyAlignment="1">
      <alignment horizontal="right" vertical="center" wrapText="1"/>
    </xf>
    <xf numFmtId="4" fontId="0" fillId="0" borderId="17" xfId="0" applyNumberFormat="1" applyBorder="1" applyAlignment="1">
      <alignment horizontal="right"/>
    </xf>
    <xf numFmtId="4" fontId="26" fillId="9" borderId="2" xfId="0" applyNumberFormat="1" applyFont="1" applyFill="1" applyBorder="1" applyAlignment="1">
      <alignment horizontal="right" vertical="center"/>
    </xf>
    <xf numFmtId="4" fontId="26" fillId="9" borderId="15" xfId="0" applyNumberFormat="1" applyFont="1" applyFill="1" applyBorder="1" applyAlignment="1">
      <alignment horizontal="right" vertical="center"/>
    </xf>
    <xf numFmtId="4" fontId="0" fillId="0" borderId="15" xfId="0" applyNumberFormat="1" applyBorder="1" applyAlignment="1">
      <alignment horizontal="right"/>
    </xf>
    <xf numFmtId="4" fontId="26" fillId="9" borderId="10" xfId="0" applyNumberFormat="1" applyFont="1" applyFill="1" applyBorder="1" applyAlignment="1">
      <alignment horizontal="right" vertical="center"/>
    </xf>
    <xf numFmtId="4" fontId="0" fillId="9" borderId="2" xfId="0" applyNumberFormat="1" applyFill="1" applyBorder="1" applyAlignment="1">
      <alignment horizontal="right"/>
    </xf>
    <xf numFmtId="4" fontId="0" fillId="9" borderId="10" xfId="0" applyNumberFormat="1" applyFill="1" applyBorder="1" applyAlignment="1">
      <alignment horizontal="right"/>
    </xf>
    <xf numFmtId="4" fontId="0" fillId="9" borderId="15" xfId="0" applyNumberFormat="1" applyFill="1" applyBorder="1" applyAlignment="1">
      <alignment horizontal="right"/>
    </xf>
    <xf numFmtId="4" fontId="0" fillId="9" borderId="12" xfId="0" applyNumberFormat="1" applyFill="1" applyBorder="1" applyAlignment="1">
      <alignment horizontal="right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4" fontId="9" fillId="9" borderId="15" xfId="0" applyNumberFormat="1" applyFont="1" applyFill="1" applyBorder="1" applyAlignment="1">
      <alignment horizontal="right" vertical="center" wrapText="1"/>
    </xf>
    <xf numFmtId="4" fontId="9" fillId="9" borderId="16" xfId="0" applyNumberFormat="1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right" vertical="center" wrapText="1"/>
    </xf>
    <xf numFmtId="4" fontId="16" fillId="7" borderId="15" xfId="0" applyNumberFormat="1" applyFont="1" applyFill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7" borderId="10" xfId="0" applyNumberFormat="1" applyFill="1" applyBorder="1" applyAlignment="1">
      <alignment horizontal="right"/>
    </xf>
    <xf numFmtId="0" fontId="0" fillId="9" borderId="10" xfId="0" applyFill="1" applyBorder="1"/>
    <xf numFmtId="0" fontId="0" fillId="6" borderId="10" xfId="0" applyFill="1" applyBorder="1"/>
    <xf numFmtId="4" fontId="0" fillId="6" borderId="10" xfId="0" applyNumberFormat="1" applyFill="1" applyBorder="1" applyAlignment="1">
      <alignment horizontal="right"/>
    </xf>
    <xf numFmtId="0" fontId="0" fillId="5" borderId="10" xfId="0" applyFill="1" applyBorder="1"/>
    <xf numFmtId="4" fontId="0" fillId="5" borderId="10" xfId="0" applyNumberFormat="1" applyFill="1" applyBorder="1" applyAlignment="1">
      <alignment horizontal="right"/>
    </xf>
    <xf numFmtId="0" fontId="0" fillId="10" borderId="10" xfId="0" applyFill="1" applyBorder="1"/>
    <xf numFmtId="4" fontId="0" fillId="10" borderId="10" xfId="0" applyNumberFormat="1" applyFill="1" applyBorder="1" applyAlignment="1">
      <alignment horizontal="right"/>
    </xf>
    <xf numFmtId="0" fontId="0" fillId="11" borderId="10" xfId="0" applyFill="1" applyBorder="1"/>
    <xf numFmtId="4" fontId="0" fillId="11" borderId="10" xfId="0" applyNumberFormat="1" applyFill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11" xfId="0" applyBorder="1"/>
    <xf numFmtId="4" fontId="0" fillId="0" borderId="23" xfId="0" applyNumberFormat="1" applyBorder="1" applyAlignment="1">
      <alignment horizontal="right"/>
    </xf>
    <xf numFmtId="0" fontId="0" fillId="0" borderId="22" xfId="0" applyBorder="1"/>
    <xf numFmtId="4" fontId="0" fillId="0" borderId="13" xfId="0" applyNumberFormat="1" applyBorder="1" applyAlignment="1">
      <alignment horizontal="right"/>
    </xf>
    <xf numFmtId="0" fontId="0" fillId="0" borderId="4" xfId="0" applyBorder="1"/>
    <xf numFmtId="4" fontId="0" fillId="0" borderId="5" xfId="0" applyNumberFormat="1" applyBorder="1" applyAlignment="1">
      <alignment horizontal="right"/>
    </xf>
    <xf numFmtId="0" fontId="0" fillId="0" borderId="5" xfId="0" applyBorder="1"/>
    <xf numFmtId="4" fontId="0" fillId="0" borderId="12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22" fillId="12" borderId="0" xfId="0" applyFont="1" applyFill="1"/>
    <xf numFmtId="0" fontId="0" fillId="0" borderId="10" xfId="0" applyBorder="1"/>
    <xf numFmtId="0" fontId="0" fillId="0" borderId="12" xfId="0" applyBorder="1"/>
    <xf numFmtId="0" fontId="0" fillId="0" borderId="10" xfId="0" applyFill="1" applyBorder="1"/>
    <xf numFmtId="0" fontId="0" fillId="0" borderId="12" xfId="0" applyFill="1" applyBorder="1"/>
    <xf numFmtId="4" fontId="0" fillId="8" borderId="10" xfId="0" applyNumberFormat="1" applyFill="1" applyBorder="1" applyAlignment="1">
      <alignment horizontal="right"/>
    </xf>
    <xf numFmtId="4" fontId="0" fillId="8" borderId="12" xfId="0" applyNumberFormat="1" applyFill="1" applyBorder="1" applyAlignment="1">
      <alignment horizontal="right"/>
    </xf>
    <xf numFmtId="4" fontId="5" fillId="8" borderId="0" xfId="0" applyNumberFormat="1" applyFont="1" applyFill="1" applyBorder="1" applyAlignment="1">
      <alignment horizontal="right" vertical="center"/>
    </xf>
    <xf numFmtId="4" fontId="0" fillId="8" borderId="4" xfId="0" applyNumberFormat="1" applyFill="1" applyBorder="1" applyAlignment="1">
      <alignment horizontal="right"/>
    </xf>
    <xf numFmtId="0" fontId="0" fillId="0" borderId="13" xfId="0" applyBorder="1"/>
    <xf numFmtId="0" fontId="9" fillId="6" borderId="13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/>
    </xf>
    <xf numFmtId="0" fontId="28" fillId="0" borderId="15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center" vertical="center" wrapText="1"/>
    </xf>
    <xf numFmtId="4" fontId="26" fillId="0" borderId="15" xfId="0" applyNumberFormat="1" applyFont="1" applyFill="1" applyBorder="1" applyAlignment="1">
      <alignment horizontal="right" vertical="center"/>
    </xf>
    <xf numFmtId="4" fontId="16" fillId="0" borderId="16" xfId="0" applyNumberFormat="1" applyFon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16" fillId="7" borderId="2" xfId="0" applyNumberFormat="1" applyFont="1" applyFill="1" applyBorder="1" applyAlignment="1">
      <alignment horizontal="right" vertical="center"/>
    </xf>
    <xf numFmtId="4" fontId="16" fillId="7" borderId="2" xfId="0" applyNumberFormat="1" applyFont="1" applyFill="1" applyBorder="1" applyAlignment="1">
      <alignment horizontal="right" vertical="center" wrapText="1"/>
    </xf>
    <xf numFmtId="4" fontId="17" fillId="7" borderId="2" xfId="0" applyNumberFormat="1" applyFont="1" applyFill="1" applyBorder="1" applyAlignment="1">
      <alignment horizontal="right" vertical="center" wrapText="1"/>
    </xf>
    <xf numFmtId="4" fontId="5" fillId="8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right" vertical="center" wrapText="1"/>
    </xf>
    <xf numFmtId="4" fontId="0" fillId="9" borderId="17" xfId="0" applyNumberFormat="1" applyFill="1" applyBorder="1" applyAlignment="1">
      <alignment horizontal="right"/>
    </xf>
    <xf numFmtId="4" fontId="9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/>
    <xf numFmtId="4" fontId="16" fillId="0" borderId="10" xfId="0" applyNumberFormat="1" applyFont="1" applyFill="1" applyBorder="1"/>
    <xf numFmtId="0" fontId="0" fillId="8" borderId="2" xfId="0" applyFill="1" applyBorder="1" applyAlignment="1">
      <alignment horizontal="right" wrapText="1"/>
    </xf>
    <xf numFmtId="0" fontId="9" fillId="8" borderId="12" xfId="0" applyFont="1" applyFill="1" applyBorder="1" applyAlignment="1">
      <alignment horizontal="right"/>
    </xf>
    <xf numFmtId="0" fontId="2" fillId="12" borderId="0" xfId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3" fontId="9" fillId="11" borderId="24" xfId="0" applyNumberFormat="1" applyFont="1" applyFill="1" applyBorder="1" applyAlignment="1">
      <alignment horizontal="center" vertical="center" wrapText="1"/>
    </xf>
    <xf numFmtId="0" fontId="0" fillId="8" borderId="25" xfId="0" applyFill="1" applyBorder="1" applyAlignment="1">
      <alignment wrapText="1"/>
    </xf>
    <xf numFmtId="0" fontId="0" fillId="12" borderId="25" xfId="0" applyFill="1" applyBorder="1" applyAlignment="1">
      <alignment wrapText="1"/>
    </xf>
    <xf numFmtId="0" fontId="8" fillId="7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4" xfId="0" applyBorder="1"/>
    <xf numFmtId="4" fontId="0" fillId="0" borderId="24" xfId="0" applyNumberFormat="1" applyBorder="1"/>
    <xf numFmtId="0" fontId="22" fillId="0" borderId="0" xfId="0" applyFont="1" applyFill="1" applyAlignment="1">
      <alignment horizontal="center" vertical="center"/>
    </xf>
    <xf numFmtId="0" fontId="29" fillId="0" borderId="22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" fillId="12" borderId="3" xfId="1" applyFill="1" applyBorder="1" applyAlignment="1">
      <alignment horizontal="center" vertical="center"/>
    </xf>
    <xf numFmtId="0" fontId="2" fillId="12" borderId="8" xfId="1" applyFill="1" applyBorder="1" applyAlignment="1">
      <alignment horizontal="center" vertical="center"/>
    </xf>
    <xf numFmtId="0" fontId="2" fillId="12" borderId="19" xfId="1" applyFill="1" applyBorder="1" applyAlignment="1">
      <alignment horizontal="center" vertic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00"/>
  <sheetViews>
    <sheetView topLeftCell="D1" zoomScaleNormal="100" workbookViewId="0">
      <pane ySplit="4" topLeftCell="A127" activePane="bottomLeft" state="frozen"/>
      <selection activeCell="E1" sqref="E1"/>
      <selection pane="bottomLeft" activeCell="W81" sqref="W81"/>
    </sheetView>
  </sheetViews>
  <sheetFormatPr defaultRowHeight="15" x14ac:dyDescent="0.25"/>
  <cols>
    <col min="1" max="1" width="9.140625" customWidth="1"/>
    <col min="3" max="3" width="55.140625" customWidth="1"/>
    <col min="4" max="4" width="9.140625" style="149"/>
    <col min="5" max="5" width="9.140625" style="151"/>
    <col min="6" max="6" width="9.140625" style="270"/>
    <col min="7" max="7" width="10.140625" style="270" bestFit="1" customWidth="1"/>
    <col min="9" max="9" width="10" style="270" customWidth="1"/>
    <col min="10" max="14" width="9.140625" style="270" customWidth="1"/>
    <col min="15" max="15" width="10.140625" style="270" customWidth="1"/>
    <col min="16" max="16" width="9.140625" style="270" customWidth="1"/>
    <col min="17" max="17" width="10.85546875" customWidth="1"/>
    <col min="18" max="18" width="11.42578125" style="270" bestFit="1" customWidth="1"/>
    <col min="20" max="20" width="11" style="270" bestFit="1" customWidth="1"/>
    <col min="21" max="21" width="9.85546875" bestFit="1" customWidth="1"/>
    <col min="22" max="22" width="11" style="270" bestFit="1" customWidth="1"/>
    <col min="23" max="23" width="11.140625" bestFit="1" customWidth="1"/>
    <col min="24" max="24" width="11" style="270" bestFit="1" customWidth="1"/>
    <col min="25" max="25" width="9.85546875" bestFit="1" customWidth="1"/>
    <col min="26" max="26" width="11" style="270" bestFit="1" customWidth="1"/>
  </cols>
  <sheetData>
    <row r="1" spans="1:26" s="353" customFormat="1" ht="64.5" customHeight="1" x14ac:dyDescent="0.25">
      <c r="A1" s="426" t="s">
        <v>1372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spans="1:26" s="6" customFormat="1" ht="15.75" x14ac:dyDescent="0.25">
      <c r="A2" s="427" t="s">
        <v>1376</v>
      </c>
      <c r="B2" s="428"/>
      <c r="C2" s="428"/>
      <c r="D2" s="428"/>
      <c r="E2" s="428"/>
      <c r="F2" s="428"/>
      <c r="G2" s="428"/>
      <c r="H2" s="428"/>
      <c r="I2" s="429" t="s">
        <v>1375</v>
      </c>
      <c r="J2" s="429"/>
      <c r="K2" s="429"/>
      <c r="L2" s="429"/>
      <c r="M2" s="429"/>
      <c r="N2" s="429"/>
      <c r="O2" s="429"/>
      <c r="P2" s="430"/>
      <c r="Q2" s="431" t="s">
        <v>1374</v>
      </c>
      <c r="R2" s="432"/>
      <c r="S2" s="432"/>
      <c r="T2" s="432"/>
      <c r="U2" s="432"/>
      <c r="V2" s="432"/>
      <c r="W2" s="432"/>
      <c r="X2" s="432"/>
      <c r="Y2" s="432"/>
      <c r="Z2" s="432"/>
    </row>
    <row r="3" spans="1:26" s="6" customFormat="1" ht="19.5" thickBot="1" x14ac:dyDescent="0.35">
      <c r="A3" s="217"/>
      <c r="B3" s="217"/>
      <c r="C3" s="379" t="s">
        <v>1103</v>
      </c>
      <c r="D3" s="218"/>
      <c r="E3" s="219"/>
      <c r="F3" s="267"/>
      <c r="G3" s="267"/>
      <c r="H3" s="220"/>
      <c r="I3" s="310"/>
      <c r="J3" s="311" t="s">
        <v>215</v>
      </c>
      <c r="K3" s="312"/>
      <c r="L3" s="312"/>
      <c r="M3" s="312"/>
      <c r="N3" s="312"/>
      <c r="O3" s="312"/>
      <c r="P3" s="313"/>
      <c r="Q3" s="220"/>
      <c r="R3" s="267"/>
      <c r="S3" s="221" t="s">
        <v>57</v>
      </c>
      <c r="T3" s="267"/>
      <c r="U3" s="220"/>
      <c r="V3" s="267"/>
      <c r="W3" s="220"/>
      <c r="X3" s="267"/>
      <c r="Y3" s="220"/>
      <c r="Z3" s="267"/>
    </row>
    <row r="4" spans="1:26" s="6" customFormat="1" ht="45" x14ac:dyDescent="0.25">
      <c r="A4" s="54" t="s">
        <v>0</v>
      </c>
      <c r="B4" s="54" t="s">
        <v>1095</v>
      </c>
      <c r="C4" s="17" t="s">
        <v>224</v>
      </c>
      <c r="D4" s="24" t="s">
        <v>225</v>
      </c>
      <c r="E4" s="19" t="s">
        <v>2</v>
      </c>
      <c r="F4" s="342" t="s">
        <v>1373</v>
      </c>
      <c r="G4" s="342" t="s">
        <v>217</v>
      </c>
      <c r="H4" s="176" t="s">
        <v>226</v>
      </c>
      <c r="I4" s="314" t="s">
        <v>173</v>
      </c>
      <c r="J4" s="315" t="s">
        <v>175</v>
      </c>
      <c r="K4" s="316" t="s">
        <v>196</v>
      </c>
      <c r="L4" s="316" t="s">
        <v>182</v>
      </c>
      <c r="M4" s="315" t="s">
        <v>193</v>
      </c>
      <c r="N4" s="317" t="s">
        <v>208</v>
      </c>
      <c r="O4" s="317" t="s">
        <v>209</v>
      </c>
      <c r="P4" s="317" t="s">
        <v>216</v>
      </c>
      <c r="Q4" s="162" t="s">
        <v>1108</v>
      </c>
      <c r="R4" s="302" t="s">
        <v>1099</v>
      </c>
      <c r="S4" s="172" t="s">
        <v>1107</v>
      </c>
      <c r="T4" s="297" t="s">
        <v>1099</v>
      </c>
      <c r="U4" s="163" t="s">
        <v>1106</v>
      </c>
      <c r="V4" s="288" t="s">
        <v>1099</v>
      </c>
      <c r="W4" s="164" t="s">
        <v>1105</v>
      </c>
      <c r="X4" s="280" t="s">
        <v>1099</v>
      </c>
      <c r="Y4" s="165" t="s">
        <v>1104</v>
      </c>
      <c r="Z4" s="268" t="s">
        <v>1099</v>
      </c>
    </row>
    <row r="5" spans="1:26" ht="30" x14ac:dyDescent="0.25">
      <c r="A5" s="142" t="s">
        <v>1178</v>
      </c>
      <c r="B5" s="142">
        <v>394</v>
      </c>
      <c r="C5" s="143" t="s">
        <v>799</v>
      </c>
      <c r="D5" s="142" t="s">
        <v>229</v>
      </c>
      <c r="E5" s="153">
        <f t="shared" ref="E5:E68" si="0">Q5+S5+U5+W5+Y5</f>
        <v>0</v>
      </c>
      <c r="F5" s="277">
        <v>1.22</v>
      </c>
      <c r="G5" s="343">
        <f t="shared" ref="G5:G68" si="1">R5+T5+V5+X5+Z5</f>
        <v>0</v>
      </c>
      <c r="H5" s="233" t="s">
        <v>175</v>
      </c>
      <c r="I5" s="369"/>
      <c r="J5" s="369">
        <v>1.22</v>
      </c>
      <c r="K5" s="369"/>
      <c r="L5" s="369"/>
      <c r="M5" s="369"/>
      <c r="N5" s="369"/>
      <c r="O5" s="369"/>
      <c r="P5" s="369"/>
      <c r="Q5" s="370"/>
      <c r="R5" s="369"/>
      <c r="S5" s="370"/>
      <c r="T5" s="369"/>
      <c r="U5" s="370"/>
      <c r="V5" s="369"/>
      <c r="W5" s="370"/>
      <c r="X5" s="369"/>
      <c r="Y5" s="370"/>
      <c r="Z5" s="371"/>
    </row>
    <row r="6" spans="1:26" s="123" customFormat="1" ht="30" x14ac:dyDescent="0.25">
      <c r="A6" s="142" t="s">
        <v>1179</v>
      </c>
      <c r="B6" s="142">
        <v>395</v>
      </c>
      <c r="C6" s="143" t="s">
        <v>800</v>
      </c>
      <c r="D6" s="142" t="s">
        <v>229</v>
      </c>
      <c r="E6" s="153">
        <f t="shared" si="0"/>
        <v>0</v>
      </c>
      <c r="F6" s="277">
        <v>1.17</v>
      </c>
      <c r="G6" s="343">
        <f t="shared" si="1"/>
        <v>0</v>
      </c>
      <c r="H6" s="372" t="s">
        <v>175</v>
      </c>
      <c r="I6" s="269"/>
      <c r="J6" s="269">
        <v>1.17</v>
      </c>
      <c r="K6" s="269"/>
      <c r="L6" s="269"/>
      <c r="M6" s="269"/>
      <c r="N6" s="269"/>
      <c r="O6" s="269"/>
      <c r="P6" s="269"/>
      <c r="Q6" s="142"/>
      <c r="R6" s="269"/>
      <c r="S6" s="142"/>
      <c r="T6" s="269"/>
      <c r="U6" s="142"/>
      <c r="V6" s="269"/>
      <c r="W6" s="142"/>
      <c r="X6" s="269"/>
      <c r="Y6" s="142"/>
      <c r="Z6" s="373"/>
    </row>
    <row r="7" spans="1:26" s="6" customFormat="1" ht="30" x14ac:dyDescent="0.25">
      <c r="A7" s="142" t="s">
        <v>1180</v>
      </c>
      <c r="B7" s="142">
        <v>393</v>
      </c>
      <c r="C7" s="143" t="s">
        <v>802</v>
      </c>
      <c r="D7" s="142" t="s">
        <v>229</v>
      </c>
      <c r="E7" s="153">
        <f t="shared" si="0"/>
        <v>0</v>
      </c>
      <c r="F7" s="277">
        <v>0.71</v>
      </c>
      <c r="G7" s="343">
        <f t="shared" si="1"/>
        <v>0</v>
      </c>
      <c r="H7" s="372" t="s">
        <v>175</v>
      </c>
      <c r="I7" s="269"/>
      <c r="J7" s="269">
        <v>0.71</v>
      </c>
      <c r="K7" s="269"/>
      <c r="L7" s="269"/>
      <c r="M7" s="269"/>
      <c r="N7" s="269"/>
      <c r="O7" s="269"/>
      <c r="P7" s="269"/>
      <c r="Q7" s="142"/>
      <c r="R7" s="269"/>
      <c r="S7" s="142"/>
      <c r="T7" s="269"/>
      <c r="U7" s="142"/>
      <c r="V7" s="269"/>
      <c r="W7" s="142"/>
      <c r="X7" s="269"/>
      <c r="Y7" s="142"/>
      <c r="Z7" s="373"/>
    </row>
    <row r="8" spans="1:26" s="6" customFormat="1" ht="30" x14ac:dyDescent="0.25">
      <c r="A8" s="142" t="s">
        <v>1181</v>
      </c>
      <c r="B8" s="142">
        <v>392</v>
      </c>
      <c r="C8" s="143" t="s">
        <v>801</v>
      </c>
      <c r="D8" s="142" t="s">
        <v>229</v>
      </c>
      <c r="E8" s="153">
        <f t="shared" si="0"/>
        <v>0</v>
      </c>
      <c r="F8" s="277">
        <v>0.59</v>
      </c>
      <c r="G8" s="343">
        <f t="shared" si="1"/>
        <v>0</v>
      </c>
      <c r="H8" s="372" t="s">
        <v>175</v>
      </c>
      <c r="I8" s="269"/>
      <c r="J8" s="269">
        <v>0.59</v>
      </c>
      <c r="K8" s="269"/>
      <c r="L8" s="269"/>
      <c r="M8" s="269"/>
      <c r="N8" s="269"/>
      <c r="O8" s="269"/>
      <c r="P8" s="269"/>
      <c r="Q8" s="142"/>
      <c r="R8" s="269"/>
      <c r="S8" s="142"/>
      <c r="T8" s="269"/>
      <c r="U8" s="142"/>
      <c r="V8" s="269"/>
      <c r="W8" s="142"/>
      <c r="X8" s="269"/>
      <c r="Y8" s="142"/>
      <c r="Z8" s="373"/>
    </row>
    <row r="9" spans="1:26" s="6" customFormat="1" ht="30" x14ac:dyDescent="0.25">
      <c r="A9" s="142" t="s">
        <v>1182</v>
      </c>
      <c r="B9" s="142">
        <v>396</v>
      </c>
      <c r="C9" s="143" t="s">
        <v>803</v>
      </c>
      <c r="D9" s="142" t="s">
        <v>229</v>
      </c>
      <c r="E9" s="153">
        <f t="shared" si="0"/>
        <v>0</v>
      </c>
      <c r="F9" s="277">
        <v>1.35</v>
      </c>
      <c r="G9" s="343">
        <f t="shared" si="1"/>
        <v>0</v>
      </c>
      <c r="H9" s="372" t="s">
        <v>175</v>
      </c>
      <c r="I9" s="269"/>
      <c r="J9" s="269">
        <v>1.35</v>
      </c>
      <c r="K9" s="269"/>
      <c r="L9" s="269"/>
      <c r="M9" s="269"/>
      <c r="N9" s="269"/>
      <c r="O9" s="269"/>
      <c r="P9" s="269"/>
      <c r="Q9" s="142"/>
      <c r="R9" s="269"/>
      <c r="S9" s="142"/>
      <c r="T9" s="269"/>
      <c r="U9" s="142"/>
      <c r="V9" s="269"/>
      <c r="W9" s="142"/>
      <c r="X9" s="269"/>
      <c r="Y9" s="142"/>
      <c r="Z9" s="373"/>
    </row>
    <row r="10" spans="1:26" s="6" customFormat="1" ht="30" x14ac:dyDescent="0.25">
      <c r="A10" s="142" t="s">
        <v>1183</v>
      </c>
      <c r="B10">
        <v>39125</v>
      </c>
      <c r="C10" s="121" t="s">
        <v>804</v>
      </c>
      <c r="D10" t="s">
        <v>229</v>
      </c>
      <c r="E10" s="153">
        <f t="shared" si="0"/>
        <v>0</v>
      </c>
      <c r="F10" s="277">
        <v>0.63</v>
      </c>
      <c r="G10" s="343">
        <f t="shared" si="1"/>
        <v>0</v>
      </c>
      <c r="H10" s="374" t="s">
        <v>175</v>
      </c>
      <c r="I10" s="375"/>
      <c r="J10" s="375">
        <v>0.63</v>
      </c>
      <c r="K10" s="375"/>
      <c r="L10" s="375"/>
      <c r="M10" s="375"/>
      <c r="N10" s="375"/>
      <c r="O10" s="375"/>
      <c r="P10" s="375"/>
      <c r="Q10" s="376"/>
      <c r="R10" s="375"/>
      <c r="S10" s="376"/>
      <c r="T10" s="375"/>
      <c r="U10" s="376"/>
      <c r="V10" s="375"/>
      <c r="W10" s="376"/>
      <c r="X10" s="375"/>
      <c r="Y10" s="376"/>
      <c r="Z10" s="358"/>
    </row>
    <row r="11" spans="1:26" ht="30" x14ac:dyDescent="0.25">
      <c r="A11" s="142" t="s">
        <v>1184</v>
      </c>
      <c r="B11">
        <v>11270</v>
      </c>
      <c r="C11" s="143" t="s">
        <v>228</v>
      </c>
      <c r="D11" s="148" t="s">
        <v>229</v>
      </c>
      <c r="E11" s="153">
        <f t="shared" si="0"/>
        <v>0</v>
      </c>
      <c r="F11" s="348">
        <f>IF(H11="SINAPI",J11,AVERAGE(J11:P11))</f>
        <v>1.41</v>
      </c>
      <c r="G11" s="343">
        <f t="shared" si="1"/>
        <v>0</v>
      </c>
      <c r="H11" s="8" t="s">
        <v>175</v>
      </c>
      <c r="I11" s="359"/>
      <c r="J11" s="359">
        <v>1.41</v>
      </c>
      <c r="K11" s="359"/>
      <c r="L11" s="359"/>
      <c r="M11" s="359"/>
      <c r="N11" s="359"/>
      <c r="O11" s="359"/>
      <c r="P11" s="359"/>
      <c r="Q11" s="360"/>
      <c r="R11" s="306">
        <f t="shared" ref="R11:R74" si="2">$F11*Q11</f>
        <v>0</v>
      </c>
      <c r="S11" s="361"/>
      <c r="T11" s="362">
        <f t="shared" ref="T11:Z26" si="3">$F11*S11</f>
        <v>0</v>
      </c>
      <c r="U11" s="363"/>
      <c r="V11" s="364">
        <f t="shared" si="3"/>
        <v>0</v>
      </c>
      <c r="W11" s="365"/>
      <c r="X11" s="366">
        <f t="shared" si="3"/>
        <v>0</v>
      </c>
      <c r="Y11" s="367"/>
      <c r="Z11" s="368">
        <f t="shared" si="3"/>
        <v>0</v>
      </c>
    </row>
    <row r="12" spans="1:26" ht="30" x14ac:dyDescent="0.25">
      <c r="A12" s="142" t="s">
        <v>1185</v>
      </c>
      <c r="B12" s="142">
        <v>412</v>
      </c>
      <c r="C12" s="143" t="s">
        <v>230</v>
      </c>
      <c r="D12" s="148" t="s">
        <v>229</v>
      </c>
      <c r="E12" s="153">
        <f t="shared" si="0"/>
        <v>0</v>
      </c>
      <c r="F12" s="348">
        <f t="shared" ref="F12:F75" si="4">IF(H12="SINAPI",J12,AVERAGE(J12:P12))</f>
        <v>1.02</v>
      </c>
      <c r="G12" s="343">
        <f t="shared" si="1"/>
        <v>0</v>
      </c>
      <c r="H12" s="8" t="s">
        <v>175</v>
      </c>
      <c r="I12" s="318"/>
      <c r="J12" s="319">
        <v>1.02</v>
      </c>
      <c r="K12" s="318"/>
      <c r="L12" s="318"/>
      <c r="M12" s="318"/>
      <c r="N12" s="318"/>
      <c r="O12" s="318"/>
      <c r="P12" s="318"/>
      <c r="Q12" s="156"/>
      <c r="R12" s="303">
        <f t="shared" si="2"/>
        <v>0</v>
      </c>
      <c r="S12" s="173"/>
      <c r="T12" s="298">
        <f t="shared" si="3"/>
        <v>0</v>
      </c>
      <c r="U12" s="158"/>
      <c r="V12" s="289">
        <f t="shared" si="3"/>
        <v>0</v>
      </c>
      <c r="W12" s="159"/>
      <c r="X12" s="281">
        <f t="shared" si="3"/>
        <v>0</v>
      </c>
      <c r="Y12" s="161"/>
      <c r="Z12" s="271">
        <f t="shared" si="3"/>
        <v>0</v>
      </c>
    </row>
    <row r="13" spans="1:26" ht="30" x14ac:dyDescent="0.25">
      <c r="A13" s="142" t="s">
        <v>1186</v>
      </c>
      <c r="B13">
        <v>414</v>
      </c>
      <c r="C13" s="121" t="s">
        <v>231</v>
      </c>
      <c r="D13" s="149" t="s">
        <v>229</v>
      </c>
      <c r="E13" s="153">
        <f t="shared" si="0"/>
        <v>0</v>
      </c>
      <c r="F13" s="348">
        <f t="shared" si="4"/>
        <v>0.06</v>
      </c>
      <c r="G13" s="343">
        <f t="shared" si="1"/>
        <v>0</v>
      </c>
      <c r="H13" s="6" t="s">
        <v>175</v>
      </c>
      <c r="I13" s="318"/>
      <c r="J13" s="318">
        <v>0.06</v>
      </c>
      <c r="K13" s="318"/>
      <c r="L13" s="318"/>
      <c r="M13" s="318"/>
      <c r="N13" s="318"/>
      <c r="O13" s="318"/>
      <c r="P13" s="318"/>
      <c r="Q13" s="156"/>
      <c r="R13" s="303">
        <f t="shared" si="2"/>
        <v>0</v>
      </c>
      <c r="S13" s="173"/>
      <c r="T13" s="298">
        <f t="shared" si="3"/>
        <v>0</v>
      </c>
      <c r="U13" s="158"/>
      <c r="V13" s="289">
        <f t="shared" si="3"/>
        <v>0</v>
      </c>
      <c r="W13" s="159"/>
      <c r="X13" s="281">
        <f t="shared" si="3"/>
        <v>0</v>
      </c>
      <c r="Y13" s="161"/>
      <c r="Z13" s="271">
        <f t="shared" si="3"/>
        <v>0</v>
      </c>
    </row>
    <row r="14" spans="1:26" ht="30" x14ac:dyDescent="0.25">
      <c r="A14" s="142" t="s">
        <v>1187</v>
      </c>
      <c r="B14">
        <v>410</v>
      </c>
      <c r="C14" s="121" t="s">
        <v>232</v>
      </c>
      <c r="D14" s="149" t="s">
        <v>229</v>
      </c>
      <c r="E14" s="153">
        <f t="shared" si="0"/>
        <v>0</v>
      </c>
      <c r="F14" s="348">
        <f t="shared" si="4"/>
        <v>0.15</v>
      </c>
      <c r="G14" s="343">
        <f t="shared" si="1"/>
        <v>0</v>
      </c>
      <c r="H14" s="6" t="s">
        <v>175</v>
      </c>
      <c r="I14" s="318"/>
      <c r="J14" s="318">
        <v>0.15</v>
      </c>
      <c r="K14" s="318"/>
      <c r="L14" s="318"/>
      <c r="M14" s="318"/>
      <c r="N14" s="318"/>
      <c r="O14" s="318"/>
      <c r="P14" s="318"/>
      <c r="Q14" s="156"/>
      <c r="R14" s="303">
        <f t="shared" si="2"/>
        <v>0</v>
      </c>
      <c r="S14" s="173"/>
      <c r="T14" s="298">
        <f t="shared" si="3"/>
        <v>0</v>
      </c>
      <c r="U14" s="158"/>
      <c r="V14" s="289">
        <f t="shared" si="3"/>
        <v>0</v>
      </c>
      <c r="W14" s="159"/>
      <c r="X14" s="281">
        <f t="shared" si="3"/>
        <v>0</v>
      </c>
      <c r="Y14" s="161"/>
      <c r="Z14" s="271">
        <f t="shared" si="3"/>
        <v>0</v>
      </c>
    </row>
    <row r="15" spans="1:26" ht="30" x14ac:dyDescent="0.25">
      <c r="A15" s="142" t="s">
        <v>1188</v>
      </c>
      <c r="B15">
        <v>411</v>
      </c>
      <c r="C15" s="121" t="s">
        <v>233</v>
      </c>
      <c r="D15" s="149" t="s">
        <v>229</v>
      </c>
      <c r="E15" s="153">
        <f t="shared" si="0"/>
        <v>0</v>
      </c>
      <c r="F15" s="348">
        <f t="shared" si="4"/>
        <v>0.2</v>
      </c>
      <c r="G15" s="343">
        <f t="shared" si="1"/>
        <v>0</v>
      </c>
      <c r="H15" s="6" t="s">
        <v>175</v>
      </c>
      <c r="I15" s="318"/>
      <c r="J15" s="318">
        <v>0.2</v>
      </c>
      <c r="K15" s="318"/>
      <c r="L15" s="318"/>
      <c r="M15" s="318"/>
      <c r="N15" s="318"/>
      <c r="O15" s="318"/>
      <c r="P15" s="318"/>
      <c r="Q15" s="156"/>
      <c r="R15" s="303">
        <f t="shared" si="2"/>
        <v>0</v>
      </c>
      <c r="S15" s="173"/>
      <c r="T15" s="298">
        <f t="shared" si="3"/>
        <v>0</v>
      </c>
      <c r="U15" s="158"/>
      <c r="V15" s="289">
        <f t="shared" si="3"/>
        <v>0</v>
      </c>
      <c r="W15" s="159"/>
      <c r="X15" s="281">
        <f t="shared" si="3"/>
        <v>0</v>
      </c>
      <c r="Y15" s="161"/>
      <c r="Z15" s="271">
        <f t="shared" si="3"/>
        <v>0</v>
      </c>
    </row>
    <row r="16" spans="1:26" ht="30" x14ac:dyDescent="0.25">
      <c r="A16" s="142" t="s">
        <v>1189</v>
      </c>
      <c r="B16">
        <v>408</v>
      </c>
      <c r="C16" s="121" t="s">
        <v>234</v>
      </c>
      <c r="D16" s="149" t="s">
        <v>229</v>
      </c>
      <c r="E16" s="153">
        <f t="shared" si="0"/>
        <v>0</v>
      </c>
      <c r="F16" s="348">
        <f t="shared" si="4"/>
        <v>0.99</v>
      </c>
      <c r="G16" s="343">
        <f t="shared" si="1"/>
        <v>0</v>
      </c>
      <c r="H16" s="6" t="s">
        <v>175</v>
      </c>
      <c r="I16" s="318"/>
      <c r="J16" s="318">
        <v>0.99</v>
      </c>
      <c r="K16" s="318"/>
      <c r="L16" s="318"/>
      <c r="M16" s="318"/>
      <c r="N16" s="318"/>
      <c r="O16" s="318"/>
      <c r="P16" s="318"/>
      <c r="Q16" s="156"/>
      <c r="R16" s="303">
        <f t="shared" si="2"/>
        <v>0</v>
      </c>
      <c r="S16" s="173"/>
      <c r="T16" s="298">
        <f t="shared" si="3"/>
        <v>0</v>
      </c>
      <c r="U16" s="158"/>
      <c r="V16" s="289">
        <f t="shared" si="3"/>
        <v>0</v>
      </c>
      <c r="W16" s="159"/>
      <c r="X16" s="281">
        <f t="shared" si="3"/>
        <v>0</v>
      </c>
      <c r="Y16" s="161"/>
      <c r="Z16" s="271">
        <f t="shared" si="3"/>
        <v>0</v>
      </c>
    </row>
    <row r="17" spans="1:26" ht="45" x14ac:dyDescent="0.25">
      <c r="A17" s="142" t="s">
        <v>1190</v>
      </c>
      <c r="B17">
        <v>427</v>
      </c>
      <c r="C17" s="121" t="s">
        <v>1094</v>
      </c>
      <c r="D17" s="149" t="s">
        <v>229</v>
      </c>
      <c r="E17" s="153">
        <f t="shared" si="0"/>
        <v>0</v>
      </c>
      <c r="F17" s="348">
        <f t="shared" si="4"/>
        <v>6.74</v>
      </c>
      <c r="G17" s="343">
        <f t="shared" si="1"/>
        <v>0</v>
      </c>
      <c r="H17" s="6" t="s">
        <v>175</v>
      </c>
      <c r="I17" s="318"/>
      <c r="J17" s="318">
        <v>6.74</v>
      </c>
      <c r="K17" s="318"/>
      <c r="L17" s="318"/>
      <c r="M17" s="318"/>
      <c r="N17" s="318"/>
      <c r="O17" s="318"/>
      <c r="P17" s="318"/>
      <c r="Q17" s="156"/>
      <c r="R17" s="303">
        <f t="shared" si="2"/>
        <v>0</v>
      </c>
      <c r="S17" s="173"/>
      <c r="T17" s="298">
        <f t="shared" si="3"/>
        <v>0</v>
      </c>
      <c r="U17" s="158"/>
      <c r="V17" s="289">
        <f t="shared" si="3"/>
        <v>0</v>
      </c>
      <c r="W17" s="159"/>
      <c r="X17" s="281">
        <f t="shared" si="3"/>
        <v>0</v>
      </c>
      <c r="Y17" s="161"/>
      <c r="Z17" s="271">
        <f t="shared" si="3"/>
        <v>0</v>
      </c>
    </row>
    <row r="18" spans="1:26" ht="45" x14ac:dyDescent="0.25">
      <c r="A18" s="142" t="s">
        <v>1191</v>
      </c>
      <c r="B18">
        <v>417</v>
      </c>
      <c r="C18" s="121" t="s">
        <v>235</v>
      </c>
      <c r="D18" s="149" t="s">
        <v>229</v>
      </c>
      <c r="E18" s="153">
        <f t="shared" si="0"/>
        <v>0</v>
      </c>
      <c r="F18" s="348">
        <f t="shared" si="4"/>
        <v>3.17</v>
      </c>
      <c r="G18" s="343">
        <f t="shared" si="1"/>
        <v>0</v>
      </c>
      <c r="H18" s="6" t="s">
        <v>175</v>
      </c>
      <c r="I18" s="318"/>
      <c r="J18" s="318">
        <v>3.17</v>
      </c>
      <c r="K18" s="318"/>
      <c r="L18" s="318"/>
      <c r="M18" s="318"/>
      <c r="N18" s="318"/>
      <c r="O18" s="318"/>
      <c r="P18" s="318"/>
      <c r="Q18" s="156"/>
      <c r="R18" s="303">
        <f t="shared" si="2"/>
        <v>0</v>
      </c>
      <c r="S18" s="173"/>
      <c r="T18" s="298">
        <f t="shared" si="3"/>
        <v>0</v>
      </c>
      <c r="U18" s="158"/>
      <c r="V18" s="289">
        <f t="shared" si="3"/>
        <v>0</v>
      </c>
      <c r="W18" s="159"/>
      <c r="X18" s="281">
        <f t="shared" si="3"/>
        <v>0</v>
      </c>
      <c r="Y18" s="161"/>
      <c r="Z18" s="271">
        <f t="shared" si="3"/>
        <v>0</v>
      </c>
    </row>
    <row r="19" spans="1:26" x14ac:dyDescent="0.25">
      <c r="A19" s="142" t="s">
        <v>1192</v>
      </c>
      <c r="B19" s="117"/>
      <c r="C19" s="131" t="s">
        <v>1096</v>
      </c>
      <c r="D19" s="136" t="s">
        <v>1</v>
      </c>
      <c r="E19" s="153">
        <f t="shared" si="0"/>
        <v>5</v>
      </c>
      <c r="F19" s="348">
        <f t="shared" si="4"/>
        <v>9.1449999999999996</v>
      </c>
      <c r="G19" s="343">
        <f t="shared" si="1"/>
        <v>45.724999999999994</v>
      </c>
      <c r="H19" s="152" t="s">
        <v>1102</v>
      </c>
      <c r="I19" s="320">
        <v>10.62</v>
      </c>
      <c r="J19" s="315">
        <v>9.3699999999999992</v>
      </c>
      <c r="K19" s="315">
        <v>11.1</v>
      </c>
      <c r="L19" s="315"/>
      <c r="M19" s="315"/>
      <c r="N19" s="315">
        <v>7.11</v>
      </c>
      <c r="O19" s="315"/>
      <c r="P19" s="315">
        <v>9</v>
      </c>
      <c r="Q19" s="155">
        <v>5</v>
      </c>
      <c r="R19" s="303">
        <f t="shared" si="2"/>
        <v>45.724999999999994</v>
      </c>
      <c r="S19" s="25">
        <v>0</v>
      </c>
      <c r="T19" s="298">
        <f t="shared" si="3"/>
        <v>0</v>
      </c>
      <c r="U19" s="47">
        <v>0</v>
      </c>
      <c r="V19" s="289">
        <f t="shared" si="3"/>
        <v>0</v>
      </c>
      <c r="W19" s="43">
        <v>0</v>
      </c>
      <c r="X19" s="281">
        <f t="shared" si="3"/>
        <v>0</v>
      </c>
      <c r="Y19" s="37">
        <v>0</v>
      </c>
      <c r="Z19" s="271">
        <f t="shared" si="3"/>
        <v>0</v>
      </c>
    </row>
    <row r="20" spans="1:26" x14ac:dyDescent="0.25">
      <c r="A20" s="142" t="s">
        <v>1193</v>
      </c>
      <c r="B20" s="55"/>
      <c r="C20" s="131" t="s">
        <v>23</v>
      </c>
      <c r="D20" s="134" t="s">
        <v>1</v>
      </c>
      <c r="E20" s="153">
        <f t="shared" si="0"/>
        <v>22</v>
      </c>
      <c r="F20" s="348">
        <f t="shared" si="4"/>
        <v>201.84750000000003</v>
      </c>
      <c r="G20" s="343">
        <f t="shared" si="1"/>
        <v>4440.6450000000004</v>
      </c>
      <c r="H20" s="152" t="s">
        <v>1101</v>
      </c>
      <c r="I20" s="321">
        <v>200.5</v>
      </c>
      <c r="J20" s="315"/>
      <c r="K20" s="315">
        <v>206.55</v>
      </c>
      <c r="L20" s="315">
        <v>212.9</v>
      </c>
      <c r="M20" s="315"/>
      <c r="N20" s="315">
        <v>149.72999999999999</v>
      </c>
      <c r="O20" s="315"/>
      <c r="P20" s="315">
        <v>238.21</v>
      </c>
      <c r="Q20" s="155">
        <v>5</v>
      </c>
      <c r="R20" s="303">
        <f t="shared" si="2"/>
        <v>1009.2375000000002</v>
      </c>
      <c r="S20" s="25">
        <v>3</v>
      </c>
      <c r="T20" s="298">
        <f t="shared" si="3"/>
        <v>605.54250000000002</v>
      </c>
      <c r="U20" s="47">
        <v>5</v>
      </c>
      <c r="V20" s="289">
        <f t="shared" si="3"/>
        <v>1009.2375000000002</v>
      </c>
      <c r="W20" s="43">
        <v>1</v>
      </c>
      <c r="X20" s="281">
        <f t="shared" si="3"/>
        <v>201.84750000000003</v>
      </c>
      <c r="Y20" s="37">
        <v>8</v>
      </c>
      <c r="Z20" s="271">
        <f t="shared" si="3"/>
        <v>1614.7800000000002</v>
      </c>
    </row>
    <row r="21" spans="1:26" ht="30" x14ac:dyDescent="0.25">
      <c r="A21" s="142" t="s">
        <v>1194</v>
      </c>
      <c r="B21">
        <v>948</v>
      </c>
      <c r="C21" s="121" t="s">
        <v>238</v>
      </c>
      <c r="D21" s="149" t="s">
        <v>237</v>
      </c>
      <c r="E21" s="153">
        <f t="shared" si="0"/>
        <v>0</v>
      </c>
      <c r="F21" s="348">
        <f t="shared" si="4"/>
        <v>25.57</v>
      </c>
      <c r="G21" s="343">
        <f t="shared" si="1"/>
        <v>0</v>
      </c>
      <c r="H21" s="6" t="s">
        <v>175</v>
      </c>
      <c r="I21" s="318"/>
      <c r="J21" s="318">
        <v>25.57</v>
      </c>
      <c r="K21" s="318"/>
      <c r="L21" s="318"/>
      <c r="M21" s="318"/>
      <c r="N21" s="318"/>
      <c r="O21" s="318"/>
      <c r="P21" s="318"/>
      <c r="Q21" s="156"/>
      <c r="R21" s="303">
        <f t="shared" si="2"/>
        <v>0</v>
      </c>
      <c r="S21" s="173"/>
      <c r="T21" s="298">
        <f t="shared" si="3"/>
        <v>0</v>
      </c>
      <c r="U21" s="158"/>
      <c r="V21" s="289">
        <f t="shared" si="3"/>
        <v>0</v>
      </c>
      <c r="W21" s="159"/>
      <c r="X21" s="281">
        <f t="shared" si="3"/>
        <v>0</v>
      </c>
      <c r="Y21" s="161"/>
      <c r="Z21" s="271">
        <f t="shared" si="3"/>
        <v>0</v>
      </c>
    </row>
    <row r="22" spans="1:26" ht="30" x14ac:dyDescent="0.25">
      <c r="A22" s="142" t="s">
        <v>1195</v>
      </c>
      <c r="B22">
        <v>947</v>
      </c>
      <c r="C22" s="121" t="s">
        <v>239</v>
      </c>
      <c r="D22" s="149" t="s">
        <v>237</v>
      </c>
      <c r="E22" s="153">
        <f t="shared" si="0"/>
        <v>0</v>
      </c>
      <c r="F22" s="348">
        <f t="shared" si="4"/>
        <v>26.01</v>
      </c>
      <c r="G22" s="343">
        <f t="shared" si="1"/>
        <v>0</v>
      </c>
      <c r="H22" s="6" t="s">
        <v>175</v>
      </c>
      <c r="I22" s="318"/>
      <c r="J22" s="318">
        <v>26.01</v>
      </c>
      <c r="K22" s="318"/>
      <c r="L22" s="318"/>
      <c r="M22" s="318"/>
      <c r="N22" s="318"/>
      <c r="O22" s="318"/>
      <c r="P22" s="318"/>
      <c r="Q22" s="156"/>
      <c r="R22" s="303">
        <f t="shared" si="2"/>
        <v>0</v>
      </c>
      <c r="S22" s="173"/>
      <c r="T22" s="298">
        <f t="shared" si="3"/>
        <v>0</v>
      </c>
      <c r="U22" s="158"/>
      <c r="V22" s="289">
        <f t="shared" si="3"/>
        <v>0</v>
      </c>
      <c r="W22" s="159"/>
      <c r="X22" s="281">
        <f t="shared" si="3"/>
        <v>0</v>
      </c>
      <c r="Y22" s="161"/>
      <c r="Z22" s="271">
        <f t="shared" si="3"/>
        <v>0</v>
      </c>
    </row>
    <row r="23" spans="1:26" ht="30" x14ac:dyDescent="0.25">
      <c r="A23" s="142" t="s">
        <v>1196</v>
      </c>
      <c r="B23">
        <v>911</v>
      </c>
      <c r="C23" s="121" t="s">
        <v>240</v>
      </c>
      <c r="D23" s="149" t="s">
        <v>237</v>
      </c>
      <c r="E23" s="153">
        <f t="shared" si="0"/>
        <v>0</v>
      </c>
      <c r="F23" s="348">
        <f t="shared" si="4"/>
        <v>37.83</v>
      </c>
      <c r="G23" s="343">
        <f t="shared" si="1"/>
        <v>0</v>
      </c>
      <c r="H23" s="6" t="s">
        <v>175</v>
      </c>
      <c r="I23" s="318"/>
      <c r="J23" s="318">
        <v>37.83</v>
      </c>
      <c r="K23" s="318"/>
      <c r="L23" s="318"/>
      <c r="M23" s="318"/>
      <c r="N23" s="318"/>
      <c r="O23" s="318"/>
      <c r="P23" s="318"/>
      <c r="Q23" s="156"/>
      <c r="R23" s="303">
        <f t="shared" si="2"/>
        <v>0</v>
      </c>
      <c r="S23" s="173"/>
      <c r="T23" s="298">
        <f t="shared" si="3"/>
        <v>0</v>
      </c>
      <c r="U23" s="158"/>
      <c r="V23" s="289">
        <f t="shared" si="3"/>
        <v>0</v>
      </c>
      <c r="W23" s="159"/>
      <c r="X23" s="281">
        <f t="shared" si="3"/>
        <v>0</v>
      </c>
      <c r="Y23" s="161"/>
      <c r="Z23" s="271">
        <f t="shared" si="3"/>
        <v>0</v>
      </c>
    </row>
    <row r="24" spans="1:26" ht="60" x14ac:dyDescent="0.25">
      <c r="A24" s="142" t="s">
        <v>1197</v>
      </c>
      <c r="B24">
        <v>993</v>
      </c>
      <c r="C24" s="121" t="s">
        <v>241</v>
      </c>
      <c r="D24" s="149" t="s">
        <v>237</v>
      </c>
      <c r="E24" s="153">
        <f t="shared" si="0"/>
        <v>325</v>
      </c>
      <c r="F24" s="348">
        <f t="shared" si="4"/>
        <v>1.35</v>
      </c>
      <c r="G24" s="343">
        <f t="shared" si="1"/>
        <v>438.75</v>
      </c>
      <c r="H24" s="6" t="s">
        <v>175</v>
      </c>
      <c r="I24" s="318"/>
      <c r="J24" s="318">
        <v>1.35</v>
      </c>
      <c r="K24" s="318"/>
      <c r="L24" s="315">
        <f>15.39/15</f>
        <v>1.026</v>
      </c>
      <c r="M24" s="315">
        <f>78.9/100</f>
        <v>0.78900000000000003</v>
      </c>
      <c r="N24" s="315"/>
      <c r="O24" s="315"/>
      <c r="P24" s="315"/>
      <c r="Q24" s="169">
        <v>50</v>
      </c>
      <c r="R24" s="303">
        <f t="shared" si="2"/>
        <v>67.5</v>
      </c>
      <c r="S24" s="25">
        <v>50</v>
      </c>
      <c r="T24" s="298">
        <f t="shared" si="3"/>
        <v>67.5</v>
      </c>
      <c r="U24" s="48">
        <v>100</v>
      </c>
      <c r="V24" s="289">
        <f t="shared" si="3"/>
        <v>135</v>
      </c>
      <c r="W24" s="43">
        <v>25</v>
      </c>
      <c r="X24" s="281">
        <f t="shared" si="3"/>
        <v>33.75</v>
      </c>
      <c r="Y24" s="38">
        <v>100</v>
      </c>
      <c r="Z24" s="271">
        <f t="shared" si="3"/>
        <v>135</v>
      </c>
    </row>
    <row r="25" spans="1:26" ht="45" x14ac:dyDescent="0.25">
      <c r="A25" s="142" t="s">
        <v>1198</v>
      </c>
      <c r="B25">
        <v>1014</v>
      </c>
      <c r="C25" s="121" t="s">
        <v>245</v>
      </c>
      <c r="D25" s="149" t="s">
        <v>237</v>
      </c>
      <c r="E25" s="153">
        <f t="shared" si="0"/>
        <v>0</v>
      </c>
      <c r="F25" s="348">
        <f t="shared" si="4"/>
        <v>1.26</v>
      </c>
      <c r="G25" s="343">
        <f t="shared" si="1"/>
        <v>0</v>
      </c>
      <c r="H25" s="6" t="s">
        <v>175</v>
      </c>
      <c r="I25" s="318"/>
      <c r="J25" s="318">
        <v>1.26</v>
      </c>
      <c r="K25" s="318"/>
      <c r="L25" s="318"/>
      <c r="M25" s="318"/>
      <c r="N25" s="318"/>
      <c r="O25" s="318"/>
      <c r="P25" s="318"/>
      <c r="Q25" s="156"/>
      <c r="R25" s="303">
        <f t="shared" si="2"/>
        <v>0</v>
      </c>
      <c r="S25" s="173"/>
      <c r="T25" s="298">
        <f t="shared" si="3"/>
        <v>0</v>
      </c>
      <c r="U25" s="158"/>
      <c r="V25" s="289">
        <f t="shared" si="3"/>
        <v>0</v>
      </c>
      <c r="W25" s="159"/>
      <c r="X25" s="281">
        <f t="shared" si="3"/>
        <v>0</v>
      </c>
      <c r="Y25" s="161"/>
      <c r="Z25" s="271">
        <f t="shared" si="3"/>
        <v>0</v>
      </c>
    </row>
    <row r="26" spans="1:26" ht="45" x14ac:dyDescent="0.25">
      <c r="A26" s="142" t="s">
        <v>1199</v>
      </c>
      <c r="B26">
        <v>981</v>
      </c>
      <c r="C26" s="121" t="s">
        <v>246</v>
      </c>
      <c r="D26" s="149" t="s">
        <v>237</v>
      </c>
      <c r="E26" s="153">
        <f t="shared" si="0"/>
        <v>0</v>
      </c>
      <c r="F26" s="348">
        <f t="shared" si="4"/>
        <v>2.2599999999999998</v>
      </c>
      <c r="G26" s="343">
        <f t="shared" si="1"/>
        <v>0</v>
      </c>
      <c r="H26" s="6" t="s">
        <v>175</v>
      </c>
      <c r="I26" s="318"/>
      <c r="J26" s="318">
        <v>2.2599999999999998</v>
      </c>
      <c r="K26" s="318"/>
      <c r="L26" s="318"/>
      <c r="M26" s="318"/>
      <c r="N26" s="318"/>
      <c r="O26" s="318"/>
      <c r="P26" s="318"/>
      <c r="Q26" s="156"/>
      <c r="R26" s="303">
        <f t="shared" si="2"/>
        <v>0</v>
      </c>
      <c r="S26" s="173"/>
      <c r="T26" s="298">
        <f t="shared" si="3"/>
        <v>0</v>
      </c>
      <c r="U26" s="158"/>
      <c r="V26" s="289">
        <f t="shared" si="3"/>
        <v>0</v>
      </c>
      <c r="W26" s="159"/>
      <c r="X26" s="281">
        <f t="shared" si="3"/>
        <v>0</v>
      </c>
      <c r="Y26" s="161"/>
      <c r="Z26" s="271">
        <f t="shared" si="3"/>
        <v>0</v>
      </c>
    </row>
    <row r="27" spans="1:26" ht="45" x14ac:dyDescent="0.25">
      <c r="A27" s="142" t="s">
        <v>1200</v>
      </c>
      <c r="B27">
        <v>982</v>
      </c>
      <c r="C27" s="121" t="s">
        <v>247</v>
      </c>
      <c r="D27" s="149" t="s">
        <v>237</v>
      </c>
      <c r="E27" s="153">
        <f t="shared" si="0"/>
        <v>0</v>
      </c>
      <c r="F27" s="348">
        <f t="shared" si="4"/>
        <v>3.16</v>
      </c>
      <c r="G27" s="343">
        <f t="shared" si="1"/>
        <v>0</v>
      </c>
      <c r="H27" s="6" t="s">
        <v>175</v>
      </c>
      <c r="I27" s="318"/>
      <c r="J27" s="318">
        <v>3.16</v>
      </c>
      <c r="K27" s="318"/>
      <c r="L27" s="318"/>
      <c r="M27" s="318"/>
      <c r="N27" s="318"/>
      <c r="O27" s="318"/>
      <c r="P27" s="318"/>
      <c r="Q27" s="156"/>
      <c r="R27" s="303">
        <f t="shared" si="2"/>
        <v>0</v>
      </c>
      <c r="S27" s="173"/>
      <c r="T27" s="298">
        <f t="shared" ref="T27:T44" si="5">$F27*S27</f>
        <v>0</v>
      </c>
      <c r="U27" s="158"/>
      <c r="V27" s="289">
        <f t="shared" ref="V27:V44" si="6">$F27*U27</f>
        <v>0</v>
      </c>
      <c r="W27" s="159"/>
      <c r="X27" s="281">
        <f t="shared" ref="X27:X44" si="7">$F27*W27</f>
        <v>0</v>
      </c>
      <c r="Y27" s="161"/>
      <c r="Z27" s="271">
        <f t="shared" ref="Z27:Z44" si="8">$F27*Y27</f>
        <v>0</v>
      </c>
    </row>
    <row r="28" spans="1:26" ht="60" x14ac:dyDescent="0.25">
      <c r="A28" s="142" t="s">
        <v>1201</v>
      </c>
      <c r="B28">
        <v>1020</v>
      </c>
      <c r="C28" s="121" t="s">
        <v>1097</v>
      </c>
      <c r="D28" s="149" t="s">
        <v>237</v>
      </c>
      <c r="E28" s="153">
        <f t="shared" si="0"/>
        <v>1300</v>
      </c>
      <c r="F28" s="348">
        <f t="shared" si="4"/>
        <v>0.91</v>
      </c>
      <c r="G28" s="343">
        <f t="shared" si="1"/>
        <v>1183</v>
      </c>
      <c r="H28" s="6" t="s">
        <v>175</v>
      </c>
      <c r="I28" s="318"/>
      <c r="J28" s="321">
        <v>0.91</v>
      </c>
      <c r="K28" s="315"/>
      <c r="L28" s="315">
        <f>141.9/15</f>
        <v>9.4600000000000009</v>
      </c>
      <c r="M28" s="315">
        <f>479.9/100</f>
        <v>4.7989999999999995</v>
      </c>
      <c r="N28" s="315"/>
      <c r="O28" s="315"/>
      <c r="P28" s="315"/>
      <c r="Q28" s="169">
        <f>50*4</f>
        <v>200</v>
      </c>
      <c r="R28" s="303">
        <f t="shared" si="2"/>
        <v>182</v>
      </c>
      <c r="S28" s="26">
        <f>50*4</f>
        <v>200</v>
      </c>
      <c r="T28" s="298">
        <f t="shared" si="5"/>
        <v>182</v>
      </c>
      <c r="U28" s="48">
        <f>100*4</f>
        <v>400</v>
      </c>
      <c r="V28" s="289">
        <f t="shared" si="6"/>
        <v>364</v>
      </c>
      <c r="W28" s="44">
        <f>25*4</f>
        <v>100</v>
      </c>
      <c r="X28" s="281">
        <f t="shared" si="7"/>
        <v>91</v>
      </c>
      <c r="Y28" s="38">
        <f>100*4</f>
        <v>400</v>
      </c>
      <c r="Z28" s="271">
        <f t="shared" si="8"/>
        <v>364</v>
      </c>
    </row>
    <row r="29" spans="1:26" ht="60" x14ac:dyDescent="0.25">
      <c r="A29" s="142" t="s">
        <v>1202</v>
      </c>
      <c r="B29">
        <v>1022</v>
      </c>
      <c r="C29" s="121" t="s">
        <v>242</v>
      </c>
      <c r="D29" s="149" t="s">
        <v>237</v>
      </c>
      <c r="E29" s="153">
        <f t="shared" si="0"/>
        <v>0</v>
      </c>
      <c r="F29" s="348">
        <f t="shared" si="4"/>
        <v>1.88</v>
      </c>
      <c r="G29" s="343">
        <f t="shared" si="1"/>
        <v>0</v>
      </c>
      <c r="H29" s="6" t="s">
        <v>175</v>
      </c>
      <c r="I29" s="318"/>
      <c r="J29" s="318">
        <v>1.88</v>
      </c>
      <c r="K29" s="318"/>
      <c r="L29" s="318"/>
      <c r="M29" s="318"/>
      <c r="N29" s="318"/>
      <c r="O29" s="318"/>
      <c r="P29" s="318"/>
      <c r="Q29" s="156"/>
      <c r="R29" s="303">
        <f t="shared" si="2"/>
        <v>0</v>
      </c>
      <c r="S29" s="173"/>
      <c r="T29" s="298">
        <f t="shared" si="5"/>
        <v>0</v>
      </c>
      <c r="U29" s="158"/>
      <c r="V29" s="289">
        <f t="shared" si="6"/>
        <v>0</v>
      </c>
      <c r="W29" s="159"/>
      <c r="X29" s="281">
        <f t="shared" si="7"/>
        <v>0</v>
      </c>
      <c r="Y29" s="161"/>
      <c r="Z29" s="271">
        <f t="shared" si="8"/>
        <v>0</v>
      </c>
    </row>
    <row r="30" spans="1:26" ht="60" x14ac:dyDescent="0.25">
      <c r="A30" s="142" t="s">
        <v>1203</v>
      </c>
      <c r="B30">
        <v>1021</v>
      </c>
      <c r="C30" s="121" t="s">
        <v>243</v>
      </c>
      <c r="D30" s="149" t="s">
        <v>237</v>
      </c>
      <c r="E30" s="153">
        <f t="shared" si="0"/>
        <v>0</v>
      </c>
      <c r="F30" s="348">
        <f t="shared" si="4"/>
        <v>2.69</v>
      </c>
      <c r="G30" s="343">
        <f t="shared" si="1"/>
        <v>0</v>
      </c>
      <c r="H30" s="6" t="s">
        <v>175</v>
      </c>
      <c r="I30" s="318"/>
      <c r="J30" s="318">
        <v>2.69</v>
      </c>
      <c r="K30" s="318"/>
      <c r="L30" s="318"/>
      <c r="M30" s="318"/>
      <c r="N30" s="318"/>
      <c r="O30" s="318"/>
      <c r="P30" s="318"/>
      <c r="Q30" s="156"/>
      <c r="R30" s="303">
        <f t="shared" si="2"/>
        <v>0</v>
      </c>
      <c r="S30" s="173"/>
      <c r="T30" s="298">
        <f t="shared" si="5"/>
        <v>0</v>
      </c>
      <c r="U30" s="158"/>
      <c r="V30" s="289">
        <f t="shared" si="6"/>
        <v>0</v>
      </c>
      <c r="W30" s="159"/>
      <c r="X30" s="281">
        <f t="shared" si="7"/>
        <v>0</v>
      </c>
      <c r="Y30" s="161"/>
      <c r="Z30" s="271">
        <f t="shared" si="8"/>
        <v>0</v>
      </c>
    </row>
    <row r="31" spans="1:26" ht="60" x14ac:dyDescent="0.25">
      <c r="A31" s="142" t="s">
        <v>1204</v>
      </c>
      <c r="B31">
        <v>994</v>
      </c>
      <c r="C31" s="121" t="s">
        <v>244</v>
      </c>
      <c r="D31" s="149" t="s">
        <v>237</v>
      </c>
      <c r="E31" s="153">
        <f t="shared" si="0"/>
        <v>0</v>
      </c>
      <c r="F31" s="348">
        <f t="shared" si="4"/>
        <v>3.68</v>
      </c>
      <c r="G31" s="343">
        <f t="shared" si="1"/>
        <v>0</v>
      </c>
      <c r="H31" s="6" t="s">
        <v>175</v>
      </c>
      <c r="I31" s="318"/>
      <c r="J31" s="318">
        <v>3.68</v>
      </c>
      <c r="K31" s="318"/>
      <c r="L31" s="318"/>
      <c r="M31" s="318"/>
      <c r="N31" s="318"/>
      <c r="O31" s="318"/>
      <c r="P31" s="318"/>
      <c r="Q31" s="156"/>
      <c r="R31" s="303">
        <f t="shared" si="2"/>
        <v>0</v>
      </c>
      <c r="S31" s="173"/>
      <c r="T31" s="298">
        <f t="shared" si="5"/>
        <v>0</v>
      </c>
      <c r="U31" s="158"/>
      <c r="V31" s="289">
        <f t="shared" si="6"/>
        <v>0</v>
      </c>
      <c r="W31" s="159"/>
      <c r="X31" s="281">
        <f t="shared" si="7"/>
        <v>0</v>
      </c>
      <c r="Y31" s="161"/>
      <c r="Z31" s="271">
        <f t="shared" si="8"/>
        <v>0</v>
      </c>
    </row>
    <row r="32" spans="1:26" ht="45" x14ac:dyDescent="0.25">
      <c r="A32" s="142" t="s">
        <v>1205</v>
      </c>
      <c r="B32">
        <v>983</v>
      </c>
      <c r="C32" s="121" t="s">
        <v>248</v>
      </c>
      <c r="D32" s="149" t="s">
        <v>237</v>
      </c>
      <c r="E32" s="153">
        <f t="shared" si="0"/>
        <v>0</v>
      </c>
      <c r="F32" s="348">
        <f t="shared" si="4"/>
        <v>0.76</v>
      </c>
      <c r="G32" s="343">
        <f t="shared" si="1"/>
        <v>0</v>
      </c>
      <c r="H32" s="6" t="s">
        <v>175</v>
      </c>
      <c r="I32" s="318"/>
      <c r="J32" s="318">
        <v>0.76</v>
      </c>
      <c r="K32" s="318"/>
      <c r="L32" s="318"/>
      <c r="M32" s="318"/>
      <c r="N32" s="318"/>
      <c r="O32" s="318"/>
      <c r="P32" s="318"/>
      <c r="Q32" s="156"/>
      <c r="R32" s="303">
        <f t="shared" si="2"/>
        <v>0</v>
      </c>
      <c r="S32" s="173"/>
      <c r="T32" s="298">
        <f t="shared" si="5"/>
        <v>0</v>
      </c>
      <c r="U32" s="158"/>
      <c r="V32" s="289">
        <f t="shared" si="6"/>
        <v>0</v>
      </c>
      <c r="W32" s="159"/>
      <c r="X32" s="281">
        <f t="shared" si="7"/>
        <v>0</v>
      </c>
      <c r="Y32" s="161"/>
      <c r="Z32" s="271">
        <f t="shared" si="8"/>
        <v>0</v>
      </c>
    </row>
    <row r="33" spans="1:26" ht="45" x14ac:dyDescent="0.25">
      <c r="A33" s="142" t="s">
        <v>1206</v>
      </c>
      <c r="B33">
        <v>984</v>
      </c>
      <c r="C33" s="121" t="s">
        <v>249</v>
      </c>
      <c r="D33" s="149" t="s">
        <v>237</v>
      </c>
      <c r="E33" s="153">
        <f t="shared" si="0"/>
        <v>0</v>
      </c>
      <c r="F33" s="348">
        <f t="shared" si="4"/>
        <v>1.98</v>
      </c>
      <c r="G33" s="343">
        <f t="shared" si="1"/>
        <v>0</v>
      </c>
      <c r="H33" s="6" t="s">
        <v>175</v>
      </c>
      <c r="I33" s="318"/>
      <c r="J33" s="318">
        <v>1.98</v>
      </c>
      <c r="K33" s="318"/>
      <c r="L33" s="318"/>
      <c r="M33" s="318"/>
      <c r="N33" s="318"/>
      <c r="O33" s="318"/>
      <c r="P33" s="318"/>
      <c r="Q33" s="156"/>
      <c r="R33" s="303">
        <f t="shared" si="2"/>
        <v>0</v>
      </c>
      <c r="S33" s="173"/>
      <c r="T33" s="298">
        <f t="shared" si="5"/>
        <v>0</v>
      </c>
      <c r="U33" s="158"/>
      <c r="V33" s="289">
        <f t="shared" si="6"/>
        <v>0</v>
      </c>
      <c r="W33" s="159"/>
      <c r="X33" s="281">
        <f t="shared" si="7"/>
        <v>0</v>
      </c>
      <c r="Y33" s="161"/>
      <c r="Z33" s="271">
        <f t="shared" si="8"/>
        <v>0</v>
      </c>
    </row>
    <row r="34" spans="1:26" ht="45" x14ac:dyDescent="0.25">
      <c r="A34" s="142" t="s">
        <v>1207</v>
      </c>
      <c r="B34">
        <v>985</v>
      </c>
      <c r="C34" s="121" t="s">
        <v>250</v>
      </c>
      <c r="D34" s="149" t="s">
        <v>237</v>
      </c>
      <c r="E34" s="153">
        <f t="shared" si="0"/>
        <v>0</v>
      </c>
      <c r="F34" s="348">
        <f t="shared" si="4"/>
        <v>5.74</v>
      </c>
      <c r="G34" s="343">
        <f t="shared" si="1"/>
        <v>0</v>
      </c>
      <c r="H34" s="6" t="s">
        <v>175</v>
      </c>
      <c r="I34" s="318"/>
      <c r="J34" s="318">
        <v>5.74</v>
      </c>
      <c r="K34" s="318"/>
      <c r="L34" s="318"/>
      <c r="M34" s="318"/>
      <c r="N34" s="318"/>
      <c r="O34" s="318"/>
      <c r="P34" s="318"/>
      <c r="Q34" s="156"/>
      <c r="R34" s="303">
        <f t="shared" si="2"/>
        <v>0</v>
      </c>
      <c r="S34" s="173"/>
      <c r="T34" s="298">
        <f t="shared" si="5"/>
        <v>0</v>
      </c>
      <c r="U34" s="158"/>
      <c r="V34" s="289">
        <f t="shared" si="6"/>
        <v>0</v>
      </c>
      <c r="W34" s="159"/>
      <c r="X34" s="281">
        <f t="shared" si="7"/>
        <v>0</v>
      </c>
      <c r="Y34" s="161"/>
      <c r="Z34" s="271">
        <f t="shared" si="8"/>
        <v>0</v>
      </c>
    </row>
    <row r="35" spans="1:26" x14ac:dyDescent="0.25">
      <c r="A35" s="142" t="s">
        <v>1208</v>
      </c>
      <c r="B35" s="55"/>
      <c r="C35" s="129" t="s">
        <v>197</v>
      </c>
      <c r="D35" s="135" t="s">
        <v>24</v>
      </c>
      <c r="E35" s="153">
        <f t="shared" si="0"/>
        <v>175</v>
      </c>
      <c r="F35" s="348">
        <f t="shared" si="4"/>
        <v>6.3730000000000002</v>
      </c>
      <c r="G35" s="343">
        <f t="shared" si="1"/>
        <v>1115.2750000000001</v>
      </c>
      <c r="H35" s="152" t="s">
        <v>1110</v>
      </c>
      <c r="I35" s="321">
        <v>6.19</v>
      </c>
      <c r="J35" s="322"/>
      <c r="K35" s="322">
        <v>7</v>
      </c>
      <c r="L35" s="315"/>
      <c r="M35" s="315"/>
      <c r="N35" s="315"/>
      <c r="O35" s="315">
        <f>449.9/100</f>
        <v>4.4989999999999997</v>
      </c>
      <c r="P35" s="315">
        <v>7.62</v>
      </c>
      <c r="Q35" s="169">
        <v>25</v>
      </c>
      <c r="R35" s="303">
        <f t="shared" si="2"/>
        <v>159.32500000000002</v>
      </c>
      <c r="S35" s="26">
        <v>50</v>
      </c>
      <c r="T35" s="298">
        <f t="shared" si="5"/>
        <v>318.65000000000003</v>
      </c>
      <c r="U35" s="48">
        <v>100</v>
      </c>
      <c r="V35" s="289">
        <f t="shared" si="6"/>
        <v>637.30000000000007</v>
      </c>
      <c r="W35" s="44">
        <v>0</v>
      </c>
      <c r="X35" s="281">
        <f t="shared" si="7"/>
        <v>0</v>
      </c>
      <c r="Y35" s="38">
        <v>0</v>
      </c>
      <c r="Z35" s="271">
        <f t="shared" si="8"/>
        <v>0</v>
      </c>
    </row>
    <row r="36" spans="1:26" x14ac:dyDescent="0.25">
      <c r="A36" s="142" t="s">
        <v>1209</v>
      </c>
      <c r="B36" s="117"/>
      <c r="C36" s="129" t="s">
        <v>200</v>
      </c>
      <c r="D36" s="135" t="s">
        <v>24</v>
      </c>
      <c r="E36" s="153">
        <f t="shared" si="0"/>
        <v>175</v>
      </c>
      <c r="F36" s="348">
        <f t="shared" si="4"/>
        <v>1.3330000000000002</v>
      </c>
      <c r="G36" s="343">
        <f t="shared" si="1"/>
        <v>233.27500000000003</v>
      </c>
      <c r="H36" s="152" t="s">
        <v>1110</v>
      </c>
      <c r="I36" s="321">
        <v>1.75</v>
      </c>
      <c r="J36" s="322"/>
      <c r="K36" s="322">
        <v>1.58</v>
      </c>
      <c r="L36" s="315"/>
      <c r="M36" s="315"/>
      <c r="N36" s="315"/>
      <c r="O36" s="315">
        <f>92.9/100</f>
        <v>0.92900000000000005</v>
      </c>
      <c r="P36" s="315">
        <v>1.49</v>
      </c>
      <c r="Q36" s="169">
        <v>25</v>
      </c>
      <c r="R36" s="303">
        <f t="shared" si="2"/>
        <v>33.325000000000003</v>
      </c>
      <c r="S36" s="26">
        <v>50</v>
      </c>
      <c r="T36" s="298">
        <f t="shared" si="5"/>
        <v>66.650000000000006</v>
      </c>
      <c r="U36" s="48">
        <v>100</v>
      </c>
      <c r="V36" s="289">
        <f t="shared" si="6"/>
        <v>133.30000000000001</v>
      </c>
      <c r="W36" s="44">
        <v>0</v>
      </c>
      <c r="X36" s="281">
        <f t="shared" si="7"/>
        <v>0</v>
      </c>
      <c r="Y36" s="38">
        <v>0</v>
      </c>
      <c r="Z36" s="271">
        <f t="shared" si="8"/>
        <v>0</v>
      </c>
    </row>
    <row r="37" spans="1:26" x14ac:dyDescent="0.25">
      <c r="A37" s="142" t="s">
        <v>1210</v>
      </c>
      <c r="B37" s="55"/>
      <c r="C37" s="129" t="s">
        <v>201</v>
      </c>
      <c r="D37" s="135" t="s">
        <v>24</v>
      </c>
      <c r="E37" s="153">
        <f t="shared" si="0"/>
        <v>175</v>
      </c>
      <c r="F37" s="348">
        <f t="shared" si="4"/>
        <v>1.53125</v>
      </c>
      <c r="G37" s="343">
        <f t="shared" si="1"/>
        <v>267.96875</v>
      </c>
      <c r="H37" s="152" t="s">
        <v>1110</v>
      </c>
      <c r="I37" s="315"/>
      <c r="J37" s="322">
        <v>1.81</v>
      </c>
      <c r="K37" s="322"/>
      <c r="L37" s="315">
        <f>46.9/25</f>
        <v>1.8759999999999999</v>
      </c>
      <c r="M37" s="315">
        <f>94.9/100</f>
        <v>0.94900000000000007</v>
      </c>
      <c r="N37" s="315"/>
      <c r="O37" s="315"/>
      <c r="P37" s="315">
        <v>1.49</v>
      </c>
      <c r="Q37" s="169">
        <v>25</v>
      </c>
      <c r="R37" s="303">
        <f t="shared" si="2"/>
        <v>38.28125</v>
      </c>
      <c r="S37" s="26">
        <v>50</v>
      </c>
      <c r="T37" s="298">
        <f t="shared" si="5"/>
        <v>76.5625</v>
      </c>
      <c r="U37" s="48">
        <v>100</v>
      </c>
      <c r="V37" s="289">
        <f t="shared" si="6"/>
        <v>153.125</v>
      </c>
      <c r="W37" s="44">
        <v>0</v>
      </c>
      <c r="X37" s="281">
        <f t="shared" si="7"/>
        <v>0</v>
      </c>
      <c r="Y37" s="38">
        <v>0</v>
      </c>
      <c r="Z37" s="271">
        <f t="shared" si="8"/>
        <v>0</v>
      </c>
    </row>
    <row r="38" spans="1:26" x14ac:dyDescent="0.25">
      <c r="A38" s="142" t="s">
        <v>1211</v>
      </c>
      <c r="B38" s="55"/>
      <c r="C38" s="129" t="s">
        <v>202</v>
      </c>
      <c r="D38" s="135" t="s">
        <v>24</v>
      </c>
      <c r="E38" s="153">
        <f t="shared" si="0"/>
        <v>175</v>
      </c>
      <c r="F38" s="348">
        <f t="shared" si="4"/>
        <v>2.8955833333333336</v>
      </c>
      <c r="G38" s="343">
        <f t="shared" si="1"/>
        <v>506.72708333333333</v>
      </c>
      <c r="H38" s="152" t="s">
        <v>1110</v>
      </c>
      <c r="I38" s="315"/>
      <c r="J38" s="322">
        <v>3.81</v>
      </c>
      <c r="K38" s="322"/>
      <c r="L38" s="315">
        <f>50.9/15</f>
        <v>3.3933333333333331</v>
      </c>
      <c r="M38" s="315">
        <f>189.9/100</f>
        <v>1.899</v>
      </c>
      <c r="N38" s="315"/>
      <c r="O38" s="315"/>
      <c r="P38" s="315">
        <v>2.48</v>
      </c>
      <c r="Q38" s="169">
        <v>25</v>
      </c>
      <c r="R38" s="303">
        <f t="shared" si="2"/>
        <v>72.389583333333334</v>
      </c>
      <c r="S38" s="26">
        <v>50</v>
      </c>
      <c r="T38" s="298">
        <f t="shared" si="5"/>
        <v>144.77916666666667</v>
      </c>
      <c r="U38" s="48">
        <v>100</v>
      </c>
      <c r="V38" s="289">
        <f t="shared" si="6"/>
        <v>289.55833333333334</v>
      </c>
      <c r="W38" s="44">
        <v>0</v>
      </c>
      <c r="X38" s="281">
        <f t="shared" si="7"/>
        <v>0</v>
      </c>
      <c r="Y38" s="38">
        <v>0</v>
      </c>
      <c r="Z38" s="271">
        <f t="shared" si="8"/>
        <v>0</v>
      </c>
    </row>
    <row r="39" spans="1:26" x14ac:dyDescent="0.25">
      <c r="A39" s="142" t="s">
        <v>1212</v>
      </c>
      <c r="B39" s="55"/>
      <c r="C39" s="129" t="s">
        <v>203</v>
      </c>
      <c r="D39" s="135" t="s">
        <v>24</v>
      </c>
      <c r="E39" s="153">
        <f t="shared" si="0"/>
        <v>175</v>
      </c>
      <c r="F39" s="348">
        <f t="shared" si="4"/>
        <v>2.8622500000000004</v>
      </c>
      <c r="G39" s="343">
        <f t="shared" si="1"/>
        <v>500.89375000000007</v>
      </c>
      <c r="H39" s="152" t="s">
        <v>1110</v>
      </c>
      <c r="I39" s="315"/>
      <c r="J39" s="322">
        <v>3.81</v>
      </c>
      <c r="K39" s="322"/>
      <c r="L39" s="315">
        <f>48.9/15</f>
        <v>3.26</v>
      </c>
      <c r="M39" s="315">
        <f>189.9/100</f>
        <v>1.899</v>
      </c>
      <c r="N39" s="315"/>
      <c r="O39" s="315"/>
      <c r="P39" s="315">
        <v>2.48</v>
      </c>
      <c r="Q39" s="169">
        <v>25</v>
      </c>
      <c r="R39" s="303">
        <f t="shared" si="2"/>
        <v>71.556250000000006</v>
      </c>
      <c r="S39" s="26">
        <v>50</v>
      </c>
      <c r="T39" s="298">
        <f t="shared" si="5"/>
        <v>143.11250000000001</v>
      </c>
      <c r="U39" s="48">
        <v>100</v>
      </c>
      <c r="V39" s="289">
        <f t="shared" si="6"/>
        <v>286.22500000000002</v>
      </c>
      <c r="W39" s="44">
        <v>0</v>
      </c>
      <c r="X39" s="281">
        <f t="shared" si="7"/>
        <v>0</v>
      </c>
      <c r="Y39" s="38">
        <v>0</v>
      </c>
      <c r="Z39" s="271">
        <f t="shared" si="8"/>
        <v>0</v>
      </c>
    </row>
    <row r="40" spans="1:26" x14ac:dyDescent="0.25">
      <c r="A40" s="142" t="s">
        <v>1213</v>
      </c>
      <c r="B40" s="55"/>
      <c r="C40" s="129" t="s">
        <v>204</v>
      </c>
      <c r="D40" s="135" t="s">
        <v>24</v>
      </c>
      <c r="E40" s="153">
        <f t="shared" si="0"/>
        <v>175</v>
      </c>
      <c r="F40" s="348">
        <f t="shared" si="4"/>
        <v>3.9053333333333331</v>
      </c>
      <c r="G40" s="343">
        <f t="shared" si="1"/>
        <v>683.43333333333328</v>
      </c>
      <c r="H40" s="152" t="s">
        <v>1110</v>
      </c>
      <c r="I40" s="315"/>
      <c r="J40" s="322">
        <v>3.05</v>
      </c>
      <c r="K40" s="322"/>
      <c r="L40" s="315">
        <f>77.9/15</f>
        <v>5.1933333333333334</v>
      </c>
      <c r="M40" s="315">
        <f>178.9/50</f>
        <v>3.5780000000000003</v>
      </c>
      <c r="N40" s="315"/>
      <c r="O40" s="315"/>
      <c r="P40" s="315">
        <v>3.8</v>
      </c>
      <c r="Q40" s="169">
        <v>25</v>
      </c>
      <c r="R40" s="303">
        <f t="shared" si="2"/>
        <v>97.633333333333326</v>
      </c>
      <c r="S40" s="26">
        <v>50</v>
      </c>
      <c r="T40" s="298">
        <f t="shared" si="5"/>
        <v>195.26666666666665</v>
      </c>
      <c r="U40" s="48">
        <v>100</v>
      </c>
      <c r="V40" s="289">
        <f t="shared" si="6"/>
        <v>390.5333333333333</v>
      </c>
      <c r="W40" s="44">
        <v>0</v>
      </c>
      <c r="X40" s="281">
        <f t="shared" si="7"/>
        <v>0</v>
      </c>
      <c r="Y40" s="38">
        <v>0</v>
      </c>
      <c r="Z40" s="271">
        <f t="shared" si="8"/>
        <v>0</v>
      </c>
    </row>
    <row r="41" spans="1:26" x14ac:dyDescent="0.25">
      <c r="A41" s="142" t="s">
        <v>1214</v>
      </c>
      <c r="B41">
        <v>34602</v>
      </c>
      <c r="C41" s="121" t="s">
        <v>1098</v>
      </c>
      <c r="D41" s="149" t="s">
        <v>237</v>
      </c>
      <c r="E41" s="153">
        <f t="shared" si="0"/>
        <v>175</v>
      </c>
      <c r="F41" s="348">
        <f t="shared" si="4"/>
        <v>2.41</v>
      </c>
      <c r="G41" s="343">
        <f t="shared" si="1"/>
        <v>421.75</v>
      </c>
      <c r="H41" s="6" t="s">
        <v>175</v>
      </c>
      <c r="I41" s="321">
        <v>2.25</v>
      </c>
      <c r="J41" s="322">
        <v>2.41</v>
      </c>
      <c r="K41" s="322">
        <v>0.99</v>
      </c>
      <c r="L41" s="315"/>
      <c r="M41" s="315"/>
      <c r="N41" s="315"/>
      <c r="O41" s="315"/>
      <c r="P41" s="315">
        <v>1.18</v>
      </c>
      <c r="Q41" s="169">
        <v>25</v>
      </c>
      <c r="R41" s="303">
        <f t="shared" si="2"/>
        <v>60.25</v>
      </c>
      <c r="S41" s="26">
        <v>50</v>
      </c>
      <c r="T41" s="298">
        <f t="shared" si="5"/>
        <v>120.5</v>
      </c>
      <c r="U41" s="48">
        <v>100</v>
      </c>
      <c r="V41" s="289">
        <f t="shared" si="6"/>
        <v>241</v>
      </c>
      <c r="W41" s="44">
        <v>0</v>
      </c>
      <c r="X41" s="281">
        <f t="shared" si="7"/>
        <v>0</v>
      </c>
      <c r="Y41" s="38">
        <v>0</v>
      </c>
      <c r="Z41" s="271">
        <f t="shared" si="8"/>
        <v>0</v>
      </c>
    </row>
    <row r="42" spans="1:26" x14ac:dyDescent="0.25">
      <c r="A42" s="142" t="s">
        <v>1215</v>
      </c>
      <c r="B42">
        <v>34607</v>
      </c>
      <c r="C42" s="121" t="s">
        <v>252</v>
      </c>
      <c r="D42" s="149" t="s">
        <v>237</v>
      </c>
      <c r="E42" s="153">
        <f t="shared" si="0"/>
        <v>0</v>
      </c>
      <c r="F42" s="348">
        <v>5.16</v>
      </c>
      <c r="G42" s="343">
        <f t="shared" si="1"/>
        <v>0</v>
      </c>
      <c r="H42" s="6" t="s">
        <v>175</v>
      </c>
      <c r="I42" s="318"/>
      <c r="J42" s="318">
        <v>5.16</v>
      </c>
      <c r="K42" s="318"/>
      <c r="L42" s="318"/>
      <c r="M42" s="318"/>
      <c r="N42" s="318"/>
      <c r="O42" s="318"/>
      <c r="P42" s="318"/>
      <c r="Q42" s="156"/>
      <c r="R42" s="303">
        <f t="shared" si="2"/>
        <v>0</v>
      </c>
      <c r="S42" s="173"/>
      <c r="T42" s="298">
        <f t="shared" si="5"/>
        <v>0</v>
      </c>
      <c r="U42" s="158"/>
      <c r="V42" s="289">
        <f t="shared" si="6"/>
        <v>0</v>
      </c>
      <c r="W42" s="159"/>
      <c r="X42" s="281">
        <f t="shared" si="7"/>
        <v>0</v>
      </c>
      <c r="Y42" s="161"/>
      <c r="Z42" s="271">
        <f t="shared" si="8"/>
        <v>0</v>
      </c>
    </row>
    <row r="43" spans="1:26" x14ac:dyDescent="0.25">
      <c r="A43" s="142" t="s">
        <v>1216</v>
      </c>
      <c r="B43">
        <v>34609</v>
      </c>
      <c r="C43" s="121" t="s">
        <v>253</v>
      </c>
      <c r="D43" s="149" t="s">
        <v>237</v>
      </c>
      <c r="E43" s="153">
        <f t="shared" si="0"/>
        <v>0</v>
      </c>
      <c r="F43" s="348">
        <v>7.75</v>
      </c>
      <c r="G43" s="343">
        <f t="shared" si="1"/>
        <v>0</v>
      </c>
      <c r="H43" s="6" t="s">
        <v>175</v>
      </c>
      <c r="I43" s="318"/>
      <c r="J43" s="318">
        <v>7.75</v>
      </c>
      <c r="K43" s="318"/>
      <c r="L43" s="318"/>
      <c r="M43" s="318"/>
      <c r="N43" s="318"/>
      <c r="O43" s="318"/>
      <c r="P43" s="318"/>
      <c r="Q43" s="156"/>
      <c r="R43" s="303">
        <f t="shared" si="2"/>
        <v>0</v>
      </c>
      <c r="S43" s="173"/>
      <c r="T43" s="298">
        <f t="shared" si="5"/>
        <v>0</v>
      </c>
      <c r="U43" s="158"/>
      <c r="V43" s="289">
        <f t="shared" si="6"/>
        <v>0</v>
      </c>
      <c r="W43" s="159"/>
      <c r="X43" s="281">
        <f t="shared" si="7"/>
        <v>0</v>
      </c>
      <c r="Y43" s="161"/>
      <c r="Z43" s="271">
        <f t="shared" si="8"/>
        <v>0</v>
      </c>
    </row>
    <row r="44" spans="1:26" x14ac:dyDescent="0.25">
      <c r="A44" s="142" t="s">
        <v>1217</v>
      </c>
      <c r="B44">
        <v>34603</v>
      </c>
      <c r="C44" s="121" t="s">
        <v>251</v>
      </c>
      <c r="D44" s="149" t="s">
        <v>237</v>
      </c>
      <c r="E44" s="153">
        <f t="shared" si="0"/>
        <v>0</v>
      </c>
      <c r="F44" s="348">
        <v>11.58</v>
      </c>
      <c r="G44" s="343">
        <f t="shared" si="1"/>
        <v>0</v>
      </c>
      <c r="H44" s="6" t="s">
        <v>175</v>
      </c>
      <c r="I44" s="318"/>
      <c r="J44" s="318">
        <v>11.58</v>
      </c>
      <c r="K44" s="318"/>
      <c r="L44" s="318"/>
      <c r="M44" s="318"/>
      <c r="N44" s="318"/>
      <c r="O44" s="318"/>
      <c r="P44" s="318"/>
      <c r="Q44" s="156"/>
      <c r="R44" s="303">
        <f t="shared" si="2"/>
        <v>0</v>
      </c>
      <c r="S44" s="173"/>
      <c r="T44" s="298">
        <f t="shared" si="5"/>
        <v>0</v>
      </c>
      <c r="U44" s="158"/>
      <c r="V44" s="289">
        <f t="shared" si="6"/>
        <v>0</v>
      </c>
      <c r="W44" s="159"/>
      <c r="X44" s="281">
        <f t="shared" si="7"/>
        <v>0</v>
      </c>
      <c r="Y44" s="161"/>
      <c r="Z44" s="271">
        <f t="shared" si="8"/>
        <v>0</v>
      </c>
    </row>
    <row r="45" spans="1:26" x14ac:dyDescent="0.25">
      <c r="A45" s="142" t="s">
        <v>1218</v>
      </c>
      <c r="B45" s="55"/>
      <c r="C45" s="129" t="s">
        <v>198</v>
      </c>
      <c r="D45" s="135" t="s">
        <v>24</v>
      </c>
      <c r="E45" s="153">
        <f t="shared" si="0"/>
        <v>175</v>
      </c>
      <c r="F45" s="348">
        <f t="shared" si="4"/>
        <v>7.1099999999999994</v>
      </c>
      <c r="G45" s="343">
        <f>R45+T45+V45+X45+Z45</f>
        <v>1244.25</v>
      </c>
      <c r="H45" s="152" t="s">
        <v>1110</v>
      </c>
      <c r="I45" s="321">
        <v>6.26</v>
      </c>
      <c r="J45" s="322"/>
      <c r="K45" s="322">
        <v>6.6</v>
      </c>
      <c r="L45" s="315"/>
      <c r="M45" s="315"/>
      <c r="N45" s="315"/>
      <c r="O45" s="315"/>
      <c r="P45" s="315">
        <v>7.62</v>
      </c>
      <c r="Q45" s="169">
        <v>25</v>
      </c>
      <c r="R45" s="303">
        <f>$F45*Q45</f>
        <v>177.75</v>
      </c>
      <c r="S45" s="26">
        <v>50</v>
      </c>
      <c r="T45" s="298">
        <f>$F45*S45</f>
        <v>355.5</v>
      </c>
      <c r="U45" s="48">
        <v>100</v>
      </c>
      <c r="V45" s="289">
        <f>$F45*U45</f>
        <v>711</v>
      </c>
      <c r="W45" s="44">
        <v>0</v>
      </c>
      <c r="X45" s="281">
        <f>$F45*W45</f>
        <v>0</v>
      </c>
      <c r="Y45" s="38">
        <v>0</v>
      </c>
      <c r="Z45" s="271">
        <f>$F45*Y45</f>
        <v>0</v>
      </c>
    </row>
    <row r="46" spans="1:26" x14ac:dyDescent="0.25">
      <c r="A46" s="142" t="s">
        <v>1219</v>
      </c>
      <c r="B46" s="55"/>
      <c r="C46" s="129" t="s">
        <v>199</v>
      </c>
      <c r="D46" s="135" t="s">
        <v>24</v>
      </c>
      <c r="E46" s="153">
        <f t="shared" si="0"/>
        <v>175</v>
      </c>
      <c r="F46" s="348">
        <f t="shared" si="4"/>
        <v>6.1563333333333334</v>
      </c>
      <c r="G46" s="343">
        <f>R46+T46+V46+X46+Z46</f>
        <v>1077.3583333333333</v>
      </c>
      <c r="H46" s="152" t="s">
        <v>1110</v>
      </c>
      <c r="I46" s="321">
        <v>6.05</v>
      </c>
      <c r="J46" s="322"/>
      <c r="K46" s="322">
        <v>6.35</v>
      </c>
      <c r="L46" s="315"/>
      <c r="M46" s="315"/>
      <c r="N46" s="315"/>
      <c r="O46" s="315">
        <f>449.9/100</f>
        <v>4.4989999999999997</v>
      </c>
      <c r="P46" s="315">
        <v>7.62</v>
      </c>
      <c r="Q46" s="169">
        <v>25</v>
      </c>
      <c r="R46" s="303">
        <f>$F46*Q46</f>
        <v>153.90833333333333</v>
      </c>
      <c r="S46" s="26">
        <v>50</v>
      </c>
      <c r="T46" s="298">
        <f>$F46*S46</f>
        <v>307.81666666666666</v>
      </c>
      <c r="U46" s="48">
        <v>100</v>
      </c>
      <c r="V46" s="289">
        <f>$F46*U46</f>
        <v>615.63333333333333</v>
      </c>
      <c r="W46" s="44">
        <v>0</v>
      </c>
      <c r="X46" s="281">
        <f>$F46*W46</f>
        <v>0</v>
      </c>
      <c r="Y46" s="38">
        <v>0</v>
      </c>
      <c r="Z46" s="271">
        <f>$F46*Y46</f>
        <v>0</v>
      </c>
    </row>
    <row r="47" spans="1:26" x14ac:dyDescent="0.25">
      <c r="A47" s="142" t="s">
        <v>1220</v>
      </c>
      <c r="B47">
        <v>34618</v>
      </c>
      <c r="C47" s="121" t="s">
        <v>254</v>
      </c>
      <c r="D47" s="149" t="s">
        <v>237</v>
      </c>
      <c r="E47" s="153">
        <f t="shared" si="0"/>
        <v>0</v>
      </c>
      <c r="F47" s="348">
        <f t="shared" si="4"/>
        <v>3.19</v>
      </c>
      <c r="G47" s="343">
        <f t="shared" si="1"/>
        <v>0</v>
      </c>
      <c r="H47" s="6" t="s">
        <v>175</v>
      </c>
      <c r="I47" s="318"/>
      <c r="J47" s="318">
        <v>3.19</v>
      </c>
      <c r="K47" s="318"/>
      <c r="L47" s="318"/>
      <c r="M47" s="318"/>
      <c r="N47" s="318"/>
      <c r="O47" s="318"/>
      <c r="P47" s="318"/>
      <c r="Q47" s="156"/>
      <c r="R47" s="303">
        <f t="shared" si="2"/>
        <v>0</v>
      </c>
      <c r="S47" s="173"/>
      <c r="T47" s="298">
        <f t="shared" ref="T47:T82" si="9">$F47*S47</f>
        <v>0</v>
      </c>
      <c r="U47" s="158"/>
      <c r="V47" s="289">
        <f t="shared" ref="V47:V82" si="10">$F47*U47</f>
        <v>0</v>
      </c>
      <c r="W47" s="159"/>
      <c r="X47" s="281">
        <f t="shared" ref="X47:X82" si="11">$F47*W47</f>
        <v>0</v>
      </c>
      <c r="Y47" s="161"/>
      <c r="Z47" s="271">
        <f t="shared" ref="Z47:Z82" si="12">$F47*Y47</f>
        <v>0</v>
      </c>
    </row>
    <row r="48" spans="1:26" x14ac:dyDescent="0.25">
      <c r="A48" s="142" t="s">
        <v>1221</v>
      </c>
      <c r="B48">
        <v>34621</v>
      </c>
      <c r="C48" s="121" t="s">
        <v>256</v>
      </c>
      <c r="D48" s="149" t="s">
        <v>237</v>
      </c>
      <c r="E48" s="153">
        <f t="shared" si="0"/>
        <v>0</v>
      </c>
      <c r="F48" s="348">
        <f t="shared" si="4"/>
        <v>7.41</v>
      </c>
      <c r="G48" s="343">
        <f t="shared" si="1"/>
        <v>0</v>
      </c>
      <c r="H48" s="6" t="s">
        <v>175</v>
      </c>
      <c r="I48" s="318"/>
      <c r="J48" s="318">
        <v>7.41</v>
      </c>
      <c r="K48" s="318"/>
      <c r="L48" s="318"/>
      <c r="M48" s="318"/>
      <c r="N48" s="318"/>
      <c r="O48" s="318"/>
      <c r="P48" s="318"/>
      <c r="Q48" s="156"/>
      <c r="R48" s="303">
        <f t="shared" si="2"/>
        <v>0</v>
      </c>
      <c r="S48" s="173"/>
      <c r="T48" s="298">
        <f t="shared" si="9"/>
        <v>0</v>
      </c>
      <c r="U48" s="158"/>
      <c r="V48" s="289">
        <f t="shared" si="10"/>
        <v>0</v>
      </c>
      <c r="W48" s="159"/>
      <c r="X48" s="281">
        <f t="shared" si="11"/>
        <v>0</v>
      </c>
      <c r="Y48" s="161"/>
      <c r="Z48" s="271">
        <f t="shared" si="12"/>
        <v>0</v>
      </c>
    </row>
    <row r="49" spans="1:26" x14ac:dyDescent="0.25">
      <c r="A49" s="142" t="s">
        <v>1222</v>
      </c>
      <c r="B49">
        <v>34622</v>
      </c>
      <c r="C49" s="121" t="s">
        <v>257</v>
      </c>
      <c r="D49" s="149" t="s">
        <v>237</v>
      </c>
      <c r="E49" s="153">
        <f t="shared" si="0"/>
        <v>0</v>
      </c>
      <c r="F49" s="348">
        <f t="shared" si="4"/>
        <v>10.5</v>
      </c>
      <c r="G49" s="343">
        <f t="shared" si="1"/>
        <v>0</v>
      </c>
      <c r="H49" s="6" t="s">
        <v>175</v>
      </c>
      <c r="I49" s="318"/>
      <c r="J49" s="318">
        <v>10.5</v>
      </c>
      <c r="K49" s="318"/>
      <c r="L49" s="318"/>
      <c r="M49" s="318"/>
      <c r="N49" s="318"/>
      <c r="O49" s="318"/>
      <c r="P49" s="318"/>
      <c r="Q49" s="156"/>
      <c r="R49" s="303">
        <f t="shared" si="2"/>
        <v>0</v>
      </c>
      <c r="S49" s="173"/>
      <c r="T49" s="298">
        <f t="shared" si="9"/>
        <v>0</v>
      </c>
      <c r="U49" s="158"/>
      <c r="V49" s="289">
        <f t="shared" si="10"/>
        <v>0</v>
      </c>
      <c r="W49" s="159"/>
      <c r="X49" s="281">
        <f t="shared" si="11"/>
        <v>0</v>
      </c>
      <c r="Y49" s="161"/>
      <c r="Z49" s="271">
        <f t="shared" si="12"/>
        <v>0</v>
      </c>
    </row>
    <row r="50" spans="1:26" x14ac:dyDescent="0.25">
      <c r="A50" s="142" t="s">
        <v>1223</v>
      </c>
      <c r="B50">
        <v>34620</v>
      </c>
      <c r="C50" s="121" t="s">
        <v>255</v>
      </c>
      <c r="D50" s="149" t="s">
        <v>237</v>
      </c>
      <c r="E50" s="153">
        <f t="shared" si="0"/>
        <v>0</v>
      </c>
      <c r="F50" s="348">
        <f t="shared" si="4"/>
        <v>15.99</v>
      </c>
      <c r="G50" s="343">
        <f t="shared" si="1"/>
        <v>0</v>
      </c>
      <c r="H50" s="6" t="s">
        <v>175</v>
      </c>
      <c r="I50" s="318"/>
      <c r="J50" s="318">
        <v>15.99</v>
      </c>
      <c r="K50" s="318"/>
      <c r="L50" s="318"/>
      <c r="M50" s="318"/>
      <c r="N50" s="318"/>
      <c r="O50" s="318"/>
      <c r="P50" s="318"/>
      <c r="Q50" s="156"/>
      <c r="R50" s="303">
        <f t="shared" si="2"/>
        <v>0</v>
      </c>
      <c r="S50" s="173"/>
      <c r="T50" s="298">
        <f t="shared" si="9"/>
        <v>0</v>
      </c>
      <c r="U50" s="158"/>
      <c r="V50" s="289">
        <f t="shared" si="10"/>
        <v>0</v>
      </c>
      <c r="W50" s="159"/>
      <c r="X50" s="281">
        <f t="shared" si="11"/>
        <v>0</v>
      </c>
      <c r="Y50" s="161"/>
      <c r="Z50" s="271">
        <f t="shared" si="12"/>
        <v>0</v>
      </c>
    </row>
    <row r="51" spans="1:26" s="145" customFormat="1" ht="45" x14ac:dyDescent="0.25">
      <c r="A51" s="142" t="s">
        <v>1224</v>
      </c>
      <c r="B51" s="145">
        <v>39258</v>
      </c>
      <c r="C51" s="146" t="s">
        <v>258</v>
      </c>
      <c r="D51" s="149" t="s">
        <v>237</v>
      </c>
      <c r="E51" s="153">
        <f t="shared" si="0"/>
        <v>0</v>
      </c>
      <c r="F51" s="348">
        <f t="shared" si="4"/>
        <v>5.12</v>
      </c>
      <c r="G51" s="343">
        <f t="shared" si="1"/>
        <v>0</v>
      </c>
      <c r="H51" s="223" t="s">
        <v>175</v>
      </c>
      <c r="I51" s="323"/>
      <c r="J51" s="323">
        <v>5.12</v>
      </c>
      <c r="K51" s="323"/>
      <c r="L51" s="323"/>
      <c r="M51" s="323"/>
      <c r="N51" s="323"/>
      <c r="O51" s="323"/>
      <c r="P51" s="323"/>
      <c r="Q51" s="170"/>
      <c r="R51" s="303">
        <f t="shared" si="2"/>
        <v>0</v>
      </c>
      <c r="S51" s="174"/>
      <c r="T51" s="298">
        <f t="shared" si="9"/>
        <v>0</v>
      </c>
      <c r="U51" s="166"/>
      <c r="V51" s="289">
        <f t="shared" si="10"/>
        <v>0</v>
      </c>
      <c r="W51" s="167"/>
      <c r="X51" s="281">
        <f t="shared" si="11"/>
        <v>0</v>
      </c>
      <c r="Y51" s="168"/>
      <c r="Z51" s="271">
        <f t="shared" si="12"/>
        <v>0</v>
      </c>
    </row>
    <row r="52" spans="1:26" s="145" customFormat="1" ht="45" x14ac:dyDescent="0.25">
      <c r="A52" s="142" t="s">
        <v>1225</v>
      </c>
      <c r="B52" s="145">
        <v>39259</v>
      </c>
      <c r="C52" s="146" t="s">
        <v>259</v>
      </c>
      <c r="D52" s="149" t="s">
        <v>237</v>
      </c>
      <c r="E52" s="153">
        <f t="shared" si="0"/>
        <v>0</v>
      </c>
      <c r="F52" s="348">
        <f t="shared" si="4"/>
        <v>7.8</v>
      </c>
      <c r="G52" s="343">
        <f t="shared" si="1"/>
        <v>0</v>
      </c>
      <c r="H52" s="223" t="s">
        <v>175</v>
      </c>
      <c r="I52" s="323"/>
      <c r="J52" s="323">
        <v>7.8</v>
      </c>
      <c r="K52" s="323"/>
      <c r="L52" s="323"/>
      <c r="M52" s="323"/>
      <c r="N52" s="323"/>
      <c r="O52" s="323"/>
      <c r="P52" s="323"/>
      <c r="Q52" s="170"/>
      <c r="R52" s="303">
        <f t="shared" si="2"/>
        <v>0</v>
      </c>
      <c r="S52" s="174"/>
      <c r="T52" s="298">
        <f t="shared" si="9"/>
        <v>0</v>
      </c>
      <c r="U52" s="166"/>
      <c r="V52" s="289">
        <f t="shared" si="10"/>
        <v>0</v>
      </c>
      <c r="W52" s="167"/>
      <c r="X52" s="281">
        <f t="shared" si="11"/>
        <v>0</v>
      </c>
      <c r="Y52" s="168"/>
      <c r="Z52" s="271">
        <f t="shared" si="12"/>
        <v>0</v>
      </c>
    </row>
    <row r="53" spans="1:26" s="145" customFormat="1" ht="45" x14ac:dyDescent="0.25">
      <c r="A53" s="142" t="s">
        <v>1226</v>
      </c>
      <c r="B53" s="145">
        <v>39260</v>
      </c>
      <c r="C53" s="146" t="s">
        <v>260</v>
      </c>
      <c r="D53" s="149" t="s">
        <v>237</v>
      </c>
      <c r="E53" s="153">
        <f t="shared" si="0"/>
        <v>0</v>
      </c>
      <c r="F53" s="348">
        <f t="shared" si="4"/>
        <v>11.1</v>
      </c>
      <c r="G53" s="343">
        <f t="shared" si="1"/>
        <v>0</v>
      </c>
      <c r="H53" s="223" t="s">
        <v>175</v>
      </c>
      <c r="I53" s="323"/>
      <c r="J53" s="323">
        <v>11.1</v>
      </c>
      <c r="K53" s="323"/>
      <c r="L53" s="323"/>
      <c r="M53" s="323"/>
      <c r="N53" s="323"/>
      <c r="O53" s="323"/>
      <c r="P53" s="323"/>
      <c r="Q53" s="170"/>
      <c r="R53" s="303">
        <f t="shared" si="2"/>
        <v>0</v>
      </c>
      <c r="S53" s="174"/>
      <c r="T53" s="298">
        <f t="shared" si="9"/>
        <v>0</v>
      </c>
      <c r="U53" s="166"/>
      <c r="V53" s="289">
        <f t="shared" si="10"/>
        <v>0</v>
      </c>
      <c r="W53" s="167"/>
      <c r="X53" s="281">
        <f t="shared" si="11"/>
        <v>0</v>
      </c>
      <c r="Y53" s="168"/>
      <c r="Z53" s="271">
        <f t="shared" si="12"/>
        <v>0</v>
      </c>
    </row>
    <row r="54" spans="1:26" x14ac:dyDescent="0.25">
      <c r="A54" s="142" t="s">
        <v>1227</v>
      </c>
      <c r="B54" s="55"/>
      <c r="C54" s="131" t="s">
        <v>191</v>
      </c>
      <c r="D54" s="137" t="s">
        <v>1</v>
      </c>
      <c r="E54" s="153">
        <f t="shared" si="0"/>
        <v>15</v>
      </c>
      <c r="F54" s="348">
        <f t="shared" si="4"/>
        <v>3.5175000000000001</v>
      </c>
      <c r="G54" s="343">
        <f t="shared" si="1"/>
        <v>52.762499999999996</v>
      </c>
      <c r="H54" s="152" t="s">
        <v>1110</v>
      </c>
      <c r="I54" s="321">
        <v>6.03</v>
      </c>
      <c r="J54" s="322">
        <v>1.89</v>
      </c>
      <c r="K54" s="322">
        <v>3.49</v>
      </c>
      <c r="L54" s="315">
        <v>2.09</v>
      </c>
      <c r="M54" s="315">
        <v>6.6</v>
      </c>
      <c r="N54" s="315"/>
      <c r="O54" s="315"/>
      <c r="P54" s="315"/>
      <c r="Q54" s="169">
        <v>5</v>
      </c>
      <c r="R54" s="303">
        <f t="shared" si="2"/>
        <v>17.587499999999999</v>
      </c>
      <c r="S54" s="26">
        <v>0</v>
      </c>
      <c r="T54" s="298">
        <f t="shared" si="9"/>
        <v>0</v>
      </c>
      <c r="U54" s="48">
        <v>0</v>
      </c>
      <c r="V54" s="289">
        <f t="shared" si="10"/>
        <v>0</v>
      </c>
      <c r="W54" s="44">
        <v>0</v>
      </c>
      <c r="X54" s="281">
        <f t="shared" si="11"/>
        <v>0</v>
      </c>
      <c r="Y54" s="38">
        <v>10</v>
      </c>
      <c r="Z54" s="271">
        <f t="shared" si="12"/>
        <v>35.174999999999997</v>
      </c>
    </row>
    <row r="55" spans="1:26" ht="45" x14ac:dyDescent="0.25">
      <c r="A55" s="142" t="s">
        <v>1228</v>
      </c>
      <c r="B55">
        <v>43095</v>
      </c>
      <c r="C55" s="121" t="s">
        <v>271</v>
      </c>
      <c r="D55" s="149" t="s">
        <v>272</v>
      </c>
      <c r="E55" s="153">
        <f t="shared" si="0"/>
        <v>0</v>
      </c>
      <c r="F55" s="348">
        <f t="shared" si="4"/>
        <v>94.63</v>
      </c>
      <c r="G55" s="343">
        <f t="shared" si="1"/>
        <v>0</v>
      </c>
      <c r="H55" s="6" t="s">
        <v>175</v>
      </c>
      <c r="I55" s="318"/>
      <c r="J55" s="318">
        <v>94.63</v>
      </c>
      <c r="K55" s="318"/>
      <c r="L55" s="318"/>
      <c r="M55" s="318"/>
      <c r="N55" s="318"/>
      <c r="O55" s="318"/>
      <c r="P55" s="318"/>
      <c r="Q55" s="156"/>
      <c r="R55" s="303">
        <f t="shared" si="2"/>
        <v>0</v>
      </c>
      <c r="S55" s="173"/>
      <c r="T55" s="298">
        <f t="shared" si="9"/>
        <v>0</v>
      </c>
      <c r="U55" s="158"/>
      <c r="V55" s="289">
        <f t="shared" si="10"/>
        <v>0</v>
      </c>
      <c r="W55" s="159"/>
      <c r="X55" s="281">
        <f t="shared" si="11"/>
        <v>0</v>
      </c>
      <c r="Y55" s="161"/>
      <c r="Z55" s="271">
        <f t="shared" si="12"/>
        <v>0</v>
      </c>
    </row>
    <row r="56" spans="1:26" ht="30" x14ac:dyDescent="0.25">
      <c r="A56" s="142" t="s">
        <v>1229</v>
      </c>
      <c r="B56">
        <v>39808</v>
      </c>
      <c r="C56" s="121" t="s">
        <v>273</v>
      </c>
      <c r="D56" s="149" t="s">
        <v>229</v>
      </c>
      <c r="E56" s="153">
        <f t="shared" si="0"/>
        <v>0</v>
      </c>
      <c r="F56" s="348">
        <f t="shared" si="4"/>
        <v>49.4</v>
      </c>
      <c r="G56" s="343">
        <f t="shared" si="1"/>
        <v>0</v>
      </c>
      <c r="H56" s="6" t="s">
        <v>175</v>
      </c>
      <c r="I56" s="318"/>
      <c r="J56" s="318">
        <v>49.4</v>
      </c>
      <c r="K56" s="318"/>
      <c r="L56" s="318"/>
      <c r="M56" s="318"/>
      <c r="N56" s="318"/>
      <c r="O56" s="318"/>
      <c r="P56" s="318"/>
      <c r="Q56" s="156"/>
      <c r="R56" s="303">
        <f t="shared" si="2"/>
        <v>0</v>
      </c>
      <c r="S56" s="173"/>
      <c r="T56" s="298">
        <f t="shared" si="9"/>
        <v>0</v>
      </c>
      <c r="U56" s="158"/>
      <c r="V56" s="289">
        <f t="shared" si="10"/>
        <v>0</v>
      </c>
      <c r="W56" s="159"/>
      <c r="X56" s="281">
        <f t="shared" si="11"/>
        <v>0</v>
      </c>
      <c r="Y56" s="161"/>
      <c r="Z56" s="271">
        <f t="shared" si="12"/>
        <v>0</v>
      </c>
    </row>
    <row r="57" spans="1:26" ht="30" x14ac:dyDescent="0.25">
      <c r="A57" s="142" t="s">
        <v>1230</v>
      </c>
      <c r="B57">
        <v>39809</v>
      </c>
      <c r="C57" s="121" t="s">
        <v>274</v>
      </c>
      <c r="D57" s="149" t="s">
        <v>229</v>
      </c>
      <c r="E57" s="153">
        <f t="shared" si="0"/>
        <v>0</v>
      </c>
      <c r="F57" s="348">
        <f t="shared" si="4"/>
        <v>117.18</v>
      </c>
      <c r="G57" s="343">
        <f t="shared" si="1"/>
        <v>0</v>
      </c>
      <c r="H57" s="6" t="s">
        <v>175</v>
      </c>
      <c r="I57" s="318"/>
      <c r="J57" s="318">
        <v>117.18</v>
      </c>
      <c r="K57" s="318"/>
      <c r="L57" s="318"/>
      <c r="M57" s="318"/>
      <c r="N57" s="318"/>
      <c r="O57" s="318"/>
      <c r="P57" s="318"/>
      <c r="Q57" s="156"/>
      <c r="R57" s="303">
        <f t="shared" si="2"/>
        <v>0</v>
      </c>
      <c r="S57" s="173"/>
      <c r="T57" s="298">
        <f t="shared" si="9"/>
        <v>0</v>
      </c>
      <c r="U57" s="158"/>
      <c r="V57" s="289">
        <f t="shared" si="10"/>
        <v>0</v>
      </c>
      <c r="W57" s="159"/>
      <c r="X57" s="281">
        <f t="shared" si="11"/>
        <v>0</v>
      </c>
      <c r="Y57" s="161"/>
      <c r="Z57" s="271">
        <f t="shared" si="12"/>
        <v>0</v>
      </c>
    </row>
    <row r="58" spans="1:26" x14ac:dyDescent="0.25">
      <c r="A58" s="142" t="s">
        <v>1231</v>
      </c>
      <c r="B58" s="55"/>
      <c r="C58" s="131" t="s">
        <v>211</v>
      </c>
      <c r="D58" s="136" t="s">
        <v>1</v>
      </c>
      <c r="E58" s="153">
        <f t="shared" si="0"/>
        <v>90</v>
      </c>
      <c r="F58" s="348">
        <f t="shared" si="4"/>
        <v>20.729999999999997</v>
      </c>
      <c r="G58" s="343">
        <f t="shared" si="1"/>
        <v>1865.6999999999998</v>
      </c>
      <c r="H58" s="152" t="s">
        <v>1110</v>
      </c>
      <c r="I58" s="321">
        <v>17.45</v>
      </c>
      <c r="J58" s="322"/>
      <c r="K58" s="322">
        <v>20.56</v>
      </c>
      <c r="L58" s="315"/>
      <c r="M58" s="315"/>
      <c r="N58" s="315">
        <v>20.9</v>
      </c>
      <c r="O58" s="315"/>
      <c r="P58" s="315"/>
      <c r="Q58" s="155">
        <v>5</v>
      </c>
      <c r="R58" s="303">
        <f t="shared" si="2"/>
        <v>103.64999999999998</v>
      </c>
      <c r="S58" s="25">
        <v>10</v>
      </c>
      <c r="T58" s="298">
        <f t="shared" si="9"/>
        <v>207.29999999999995</v>
      </c>
      <c r="U58" s="47">
        <v>25</v>
      </c>
      <c r="V58" s="289">
        <f t="shared" si="10"/>
        <v>518.24999999999989</v>
      </c>
      <c r="W58" s="43">
        <v>25</v>
      </c>
      <c r="X58" s="281">
        <f t="shared" si="11"/>
        <v>518.24999999999989</v>
      </c>
      <c r="Y58" s="37">
        <v>25</v>
      </c>
      <c r="Z58" s="271">
        <f t="shared" si="12"/>
        <v>518.24999999999989</v>
      </c>
    </row>
    <row r="59" spans="1:26" x14ac:dyDescent="0.25">
      <c r="A59" s="142" t="s">
        <v>1232</v>
      </c>
      <c r="B59" s="55"/>
      <c r="C59" s="131" t="s">
        <v>212</v>
      </c>
      <c r="D59" s="136" t="s">
        <v>1</v>
      </c>
      <c r="E59" s="153">
        <f t="shared" si="0"/>
        <v>110</v>
      </c>
      <c r="F59" s="348">
        <f t="shared" si="4"/>
        <v>10.87</v>
      </c>
      <c r="G59" s="343">
        <f t="shared" si="1"/>
        <v>1195.6999999999998</v>
      </c>
      <c r="H59" s="152" t="s">
        <v>1110</v>
      </c>
      <c r="I59" s="321">
        <v>9.1</v>
      </c>
      <c r="J59" s="322"/>
      <c r="K59" s="322">
        <v>13.42</v>
      </c>
      <c r="L59" s="315">
        <v>11.79</v>
      </c>
      <c r="M59" s="315">
        <v>12.2</v>
      </c>
      <c r="N59" s="315">
        <v>6.07</v>
      </c>
      <c r="O59" s="315"/>
      <c r="P59" s="315"/>
      <c r="Q59" s="155">
        <v>5</v>
      </c>
      <c r="R59" s="303">
        <f t="shared" si="2"/>
        <v>54.349999999999994</v>
      </c>
      <c r="S59" s="25">
        <v>25</v>
      </c>
      <c r="T59" s="298">
        <f t="shared" si="9"/>
        <v>271.75</v>
      </c>
      <c r="U59" s="47">
        <v>35</v>
      </c>
      <c r="V59" s="289">
        <f t="shared" si="10"/>
        <v>380.45</v>
      </c>
      <c r="W59" s="43">
        <v>20</v>
      </c>
      <c r="X59" s="281">
        <f t="shared" si="11"/>
        <v>217.39999999999998</v>
      </c>
      <c r="Y59" s="37">
        <v>25</v>
      </c>
      <c r="Z59" s="271">
        <f t="shared" si="12"/>
        <v>271.75</v>
      </c>
    </row>
    <row r="60" spans="1:26" x14ac:dyDescent="0.25">
      <c r="A60" s="142" t="s">
        <v>1233</v>
      </c>
      <c r="B60" s="55"/>
      <c r="C60" s="131" t="s">
        <v>25</v>
      </c>
      <c r="D60" s="136" t="s">
        <v>1</v>
      </c>
      <c r="E60" s="153">
        <f t="shared" si="0"/>
        <v>70</v>
      </c>
      <c r="F60" s="348">
        <f t="shared" si="4"/>
        <v>7.666666666666667</v>
      </c>
      <c r="G60" s="343">
        <f t="shared" si="1"/>
        <v>536.66666666666674</v>
      </c>
      <c r="H60" s="152" t="s">
        <v>1110</v>
      </c>
      <c r="I60" s="321">
        <v>6.81</v>
      </c>
      <c r="J60" s="322"/>
      <c r="K60" s="322">
        <v>6.71</v>
      </c>
      <c r="L60" s="315">
        <v>9.2899999999999991</v>
      </c>
      <c r="M60" s="315">
        <v>7</v>
      </c>
      <c r="N60" s="315"/>
      <c r="O60" s="315"/>
      <c r="P60" s="315"/>
      <c r="Q60" s="155">
        <v>5</v>
      </c>
      <c r="R60" s="303">
        <f t="shared" si="2"/>
        <v>38.333333333333336</v>
      </c>
      <c r="S60" s="25">
        <v>0</v>
      </c>
      <c r="T60" s="298">
        <f t="shared" si="9"/>
        <v>0</v>
      </c>
      <c r="U60" s="47">
        <v>20</v>
      </c>
      <c r="V60" s="289">
        <f t="shared" si="10"/>
        <v>153.33333333333334</v>
      </c>
      <c r="W60" s="43">
        <v>20</v>
      </c>
      <c r="X60" s="281">
        <f t="shared" si="11"/>
        <v>153.33333333333334</v>
      </c>
      <c r="Y60" s="37">
        <v>25</v>
      </c>
      <c r="Z60" s="271">
        <f t="shared" si="12"/>
        <v>191.66666666666669</v>
      </c>
    </row>
    <row r="61" spans="1:26" ht="60" x14ac:dyDescent="0.25">
      <c r="A61" s="142" t="s">
        <v>1234</v>
      </c>
      <c r="B61">
        <v>43091</v>
      </c>
      <c r="C61" s="121" t="s">
        <v>275</v>
      </c>
      <c r="D61" s="149" t="s">
        <v>272</v>
      </c>
      <c r="E61" s="153">
        <f t="shared" si="0"/>
        <v>0</v>
      </c>
      <c r="F61" s="348">
        <f t="shared" si="4"/>
        <v>3952.65</v>
      </c>
      <c r="G61" s="343">
        <f t="shared" si="1"/>
        <v>0</v>
      </c>
      <c r="H61" s="6" t="s">
        <v>175</v>
      </c>
      <c r="I61" s="318"/>
      <c r="J61" s="318">
        <v>3952.65</v>
      </c>
      <c r="K61" s="318"/>
      <c r="L61" s="318"/>
      <c r="M61" s="318"/>
      <c r="N61" s="318"/>
      <c r="O61" s="318"/>
      <c r="P61" s="318"/>
      <c r="Q61" s="156"/>
      <c r="R61" s="303">
        <f t="shared" si="2"/>
        <v>0</v>
      </c>
      <c r="S61" s="173"/>
      <c r="T61" s="298">
        <f t="shared" si="9"/>
        <v>0</v>
      </c>
      <c r="U61" s="158"/>
      <c r="V61" s="289">
        <f t="shared" si="10"/>
        <v>0</v>
      </c>
      <c r="W61" s="159"/>
      <c r="X61" s="281">
        <f t="shared" si="11"/>
        <v>0</v>
      </c>
      <c r="Y61" s="161"/>
      <c r="Z61" s="271">
        <f t="shared" si="12"/>
        <v>0</v>
      </c>
    </row>
    <row r="62" spans="1:26" ht="30" x14ac:dyDescent="0.25">
      <c r="A62" s="142" t="s">
        <v>1235</v>
      </c>
      <c r="B62" s="142">
        <v>1597</v>
      </c>
      <c r="C62" s="143" t="s">
        <v>261</v>
      </c>
      <c r="D62" s="148" t="s">
        <v>229</v>
      </c>
      <c r="E62" s="153">
        <f t="shared" si="0"/>
        <v>0</v>
      </c>
      <c r="F62" s="348">
        <f t="shared" si="4"/>
        <v>6.26</v>
      </c>
      <c r="G62" s="343">
        <f t="shared" si="1"/>
        <v>0</v>
      </c>
      <c r="H62" s="8" t="s">
        <v>175</v>
      </c>
      <c r="I62" s="318"/>
      <c r="J62" s="318">
        <v>6.26</v>
      </c>
      <c r="K62" s="318"/>
      <c r="L62" s="318"/>
      <c r="M62" s="318"/>
      <c r="N62" s="318"/>
      <c r="O62" s="318"/>
      <c r="P62" s="318"/>
      <c r="Q62" s="156"/>
      <c r="R62" s="303">
        <f t="shared" si="2"/>
        <v>0</v>
      </c>
      <c r="S62" s="173"/>
      <c r="T62" s="298">
        <f t="shared" si="9"/>
        <v>0</v>
      </c>
      <c r="U62" s="158"/>
      <c r="V62" s="289">
        <f t="shared" si="10"/>
        <v>0</v>
      </c>
      <c r="W62" s="159"/>
      <c r="X62" s="281">
        <f t="shared" si="11"/>
        <v>0</v>
      </c>
      <c r="Y62" s="161"/>
      <c r="Z62" s="271">
        <f t="shared" si="12"/>
        <v>0</v>
      </c>
    </row>
    <row r="63" spans="1:26" ht="30" x14ac:dyDescent="0.25">
      <c r="A63" s="142" t="s">
        <v>1236</v>
      </c>
      <c r="B63" s="142">
        <v>11856</v>
      </c>
      <c r="C63" s="143" t="s">
        <v>262</v>
      </c>
      <c r="D63" s="148" t="s">
        <v>229</v>
      </c>
      <c r="E63" s="153">
        <f t="shared" si="0"/>
        <v>0</v>
      </c>
      <c r="F63" s="348">
        <f t="shared" si="4"/>
        <v>3.37</v>
      </c>
      <c r="G63" s="343">
        <f t="shared" si="1"/>
        <v>0</v>
      </c>
      <c r="H63" s="8" t="s">
        <v>175</v>
      </c>
      <c r="I63" s="318"/>
      <c r="J63" s="318">
        <v>3.37</v>
      </c>
      <c r="K63" s="318"/>
      <c r="L63" s="318"/>
      <c r="M63" s="318"/>
      <c r="N63" s="318"/>
      <c r="O63" s="318"/>
      <c r="P63" s="318"/>
      <c r="Q63" s="156"/>
      <c r="R63" s="303">
        <f t="shared" si="2"/>
        <v>0</v>
      </c>
      <c r="S63" s="173"/>
      <c r="T63" s="298">
        <f t="shared" si="9"/>
        <v>0</v>
      </c>
      <c r="U63" s="158"/>
      <c r="V63" s="289">
        <f t="shared" si="10"/>
        <v>0</v>
      </c>
      <c r="W63" s="159"/>
      <c r="X63" s="281">
        <f t="shared" si="11"/>
        <v>0</v>
      </c>
      <c r="Y63" s="161"/>
      <c r="Z63" s="271">
        <f t="shared" si="12"/>
        <v>0</v>
      </c>
    </row>
    <row r="64" spans="1:26" ht="30" x14ac:dyDescent="0.25">
      <c r="A64" s="142" t="s">
        <v>1237</v>
      </c>
      <c r="B64" s="142">
        <v>1539</v>
      </c>
      <c r="C64" s="143" t="s">
        <v>263</v>
      </c>
      <c r="D64" s="148" t="s">
        <v>229</v>
      </c>
      <c r="E64" s="153">
        <f t="shared" si="0"/>
        <v>0</v>
      </c>
      <c r="F64" s="348">
        <f t="shared" si="4"/>
        <v>3.96</v>
      </c>
      <c r="G64" s="343">
        <f t="shared" si="1"/>
        <v>0</v>
      </c>
      <c r="H64" s="8" t="s">
        <v>175</v>
      </c>
      <c r="I64" s="318"/>
      <c r="J64" s="318">
        <v>3.96</v>
      </c>
      <c r="K64" s="318"/>
      <c r="L64" s="318"/>
      <c r="M64" s="318"/>
      <c r="N64" s="318"/>
      <c r="O64" s="318"/>
      <c r="P64" s="318"/>
      <c r="Q64" s="156"/>
      <c r="R64" s="303">
        <f t="shared" si="2"/>
        <v>0</v>
      </c>
      <c r="S64" s="173"/>
      <c r="T64" s="298">
        <f t="shared" si="9"/>
        <v>0</v>
      </c>
      <c r="U64" s="158"/>
      <c r="V64" s="289">
        <f t="shared" si="10"/>
        <v>0</v>
      </c>
      <c r="W64" s="159"/>
      <c r="X64" s="281">
        <f t="shared" si="11"/>
        <v>0</v>
      </c>
      <c r="Y64" s="161"/>
      <c r="Z64" s="271">
        <f t="shared" si="12"/>
        <v>0</v>
      </c>
    </row>
    <row r="65" spans="1:26" ht="30" x14ac:dyDescent="0.25">
      <c r="A65" s="142" t="s">
        <v>1238</v>
      </c>
      <c r="B65" s="142">
        <v>11863</v>
      </c>
      <c r="C65" s="143" t="s">
        <v>264</v>
      </c>
      <c r="D65" s="148" t="s">
        <v>229</v>
      </c>
      <c r="E65" s="153">
        <f t="shared" si="0"/>
        <v>0</v>
      </c>
      <c r="F65" s="348">
        <f t="shared" si="4"/>
        <v>2.95</v>
      </c>
      <c r="G65" s="343">
        <f t="shared" si="1"/>
        <v>0</v>
      </c>
      <c r="H65" s="8" t="s">
        <v>175</v>
      </c>
      <c r="I65" s="318"/>
      <c r="J65" s="318">
        <v>2.95</v>
      </c>
      <c r="K65" s="318"/>
      <c r="L65" s="318"/>
      <c r="M65" s="318"/>
      <c r="N65" s="318"/>
      <c r="O65" s="318"/>
      <c r="P65" s="318"/>
      <c r="Q65" s="156"/>
      <c r="R65" s="303">
        <f t="shared" si="2"/>
        <v>0</v>
      </c>
      <c r="S65" s="173"/>
      <c r="T65" s="298">
        <f t="shared" si="9"/>
        <v>0</v>
      </c>
      <c r="U65" s="158"/>
      <c r="V65" s="289">
        <f t="shared" si="10"/>
        <v>0</v>
      </c>
      <c r="W65" s="159"/>
      <c r="X65" s="281">
        <f t="shared" si="11"/>
        <v>0</v>
      </c>
      <c r="Y65" s="161"/>
      <c r="Z65" s="271">
        <f t="shared" si="12"/>
        <v>0</v>
      </c>
    </row>
    <row r="66" spans="1:26" x14ac:dyDescent="0.25">
      <c r="A66" s="142" t="s">
        <v>1239</v>
      </c>
      <c r="B66" s="55"/>
      <c r="C66" s="132" t="s">
        <v>213</v>
      </c>
      <c r="D66" s="56" t="s">
        <v>187</v>
      </c>
      <c r="E66" s="153">
        <f t="shared" si="0"/>
        <v>24</v>
      </c>
      <c r="F66" s="348">
        <f t="shared" si="4"/>
        <v>22.23</v>
      </c>
      <c r="G66" s="343">
        <f t="shared" si="1"/>
        <v>533.52</v>
      </c>
      <c r="H66" s="152" t="s">
        <v>1110</v>
      </c>
      <c r="I66" s="322"/>
      <c r="J66" s="322"/>
      <c r="K66" s="322"/>
      <c r="L66" s="315"/>
      <c r="M66" s="315"/>
      <c r="N66" s="315">
        <v>22.23</v>
      </c>
      <c r="O66" s="315"/>
      <c r="P66" s="315"/>
      <c r="Q66" s="171">
        <v>6</v>
      </c>
      <c r="R66" s="303">
        <f t="shared" si="2"/>
        <v>133.38</v>
      </c>
      <c r="S66" s="108">
        <v>6</v>
      </c>
      <c r="T66" s="298">
        <f t="shared" si="9"/>
        <v>133.38</v>
      </c>
      <c r="U66" s="115">
        <v>6</v>
      </c>
      <c r="V66" s="289">
        <f t="shared" si="10"/>
        <v>133.38</v>
      </c>
      <c r="W66" s="112"/>
      <c r="X66" s="281">
        <f t="shared" si="11"/>
        <v>0</v>
      </c>
      <c r="Y66" s="111">
        <v>6</v>
      </c>
      <c r="Z66" s="271">
        <f t="shared" si="12"/>
        <v>133.38</v>
      </c>
    </row>
    <row r="67" spans="1:26" x14ac:dyDescent="0.25">
      <c r="A67" s="142" t="s">
        <v>1240</v>
      </c>
      <c r="B67" s="117"/>
      <c r="C67" s="131" t="s">
        <v>26</v>
      </c>
      <c r="D67" s="136" t="s">
        <v>1</v>
      </c>
      <c r="E67" s="153">
        <f t="shared" si="0"/>
        <v>55</v>
      </c>
      <c r="F67" s="348">
        <f t="shared" si="4"/>
        <v>5.26</v>
      </c>
      <c r="G67" s="343">
        <f t="shared" si="1"/>
        <v>289.3</v>
      </c>
      <c r="H67" s="152" t="s">
        <v>1110</v>
      </c>
      <c r="I67" s="321">
        <v>3.96</v>
      </c>
      <c r="J67" s="322"/>
      <c r="K67" s="322">
        <v>5.26</v>
      </c>
      <c r="L67" s="315"/>
      <c r="M67" s="315"/>
      <c r="N67" s="315"/>
      <c r="O67" s="315"/>
      <c r="P67" s="315"/>
      <c r="Q67" s="155">
        <v>5</v>
      </c>
      <c r="R67" s="303">
        <f t="shared" si="2"/>
        <v>26.299999999999997</v>
      </c>
      <c r="S67" s="25">
        <v>20</v>
      </c>
      <c r="T67" s="298">
        <f t="shared" si="9"/>
        <v>105.19999999999999</v>
      </c>
      <c r="U67" s="47">
        <v>5</v>
      </c>
      <c r="V67" s="289">
        <f t="shared" si="10"/>
        <v>26.299999999999997</v>
      </c>
      <c r="W67" s="43">
        <v>10</v>
      </c>
      <c r="X67" s="281">
        <f t="shared" si="11"/>
        <v>52.599999999999994</v>
      </c>
      <c r="Y67" s="37">
        <v>15</v>
      </c>
      <c r="Z67" s="271">
        <f t="shared" si="12"/>
        <v>78.899999999999991</v>
      </c>
    </row>
    <row r="68" spans="1:26" x14ac:dyDescent="0.25">
      <c r="A68" s="142" t="s">
        <v>1241</v>
      </c>
      <c r="B68" s="55"/>
      <c r="C68" s="131" t="s">
        <v>27</v>
      </c>
      <c r="D68" s="136" t="s">
        <v>1</v>
      </c>
      <c r="E68" s="153">
        <f t="shared" si="0"/>
        <v>40</v>
      </c>
      <c r="F68" s="348">
        <f t="shared" si="4"/>
        <v>9.89</v>
      </c>
      <c r="G68" s="343">
        <f t="shared" si="1"/>
        <v>395.6</v>
      </c>
      <c r="H68" s="152" t="s">
        <v>1110</v>
      </c>
      <c r="I68" s="321">
        <v>18.28</v>
      </c>
      <c r="J68" s="322"/>
      <c r="K68" s="322">
        <v>10</v>
      </c>
      <c r="L68" s="315"/>
      <c r="M68" s="315"/>
      <c r="N68" s="315">
        <v>8.5399999999999991</v>
      </c>
      <c r="O68" s="315"/>
      <c r="P68" s="315">
        <v>11.13</v>
      </c>
      <c r="Q68" s="155">
        <v>5</v>
      </c>
      <c r="R68" s="303">
        <f t="shared" si="2"/>
        <v>49.45</v>
      </c>
      <c r="S68" s="25">
        <v>10</v>
      </c>
      <c r="T68" s="298">
        <f t="shared" si="9"/>
        <v>98.9</v>
      </c>
      <c r="U68" s="47">
        <v>5</v>
      </c>
      <c r="V68" s="289">
        <f t="shared" si="10"/>
        <v>49.45</v>
      </c>
      <c r="W68" s="43">
        <v>10</v>
      </c>
      <c r="X68" s="281">
        <f t="shared" si="11"/>
        <v>98.9</v>
      </c>
      <c r="Y68" s="37">
        <v>10</v>
      </c>
      <c r="Z68" s="271">
        <f t="shared" si="12"/>
        <v>98.9</v>
      </c>
    </row>
    <row r="69" spans="1:26" x14ac:dyDescent="0.25">
      <c r="A69" s="142" t="s">
        <v>1242</v>
      </c>
      <c r="B69" s="55"/>
      <c r="C69" s="131" t="s">
        <v>28</v>
      </c>
      <c r="D69" s="136" t="s">
        <v>1</v>
      </c>
      <c r="E69" s="153">
        <f t="shared" ref="E69:E132" si="13">Q69+S69+U69+W69+Y69</f>
        <v>40</v>
      </c>
      <c r="F69" s="348">
        <f t="shared" si="4"/>
        <v>9.31</v>
      </c>
      <c r="G69" s="343">
        <f t="shared" ref="G69:G132" si="14">R69+T69+V69+X69+Z69</f>
        <v>372.40000000000003</v>
      </c>
      <c r="H69" s="152" t="s">
        <v>1110</v>
      </c>
      <c r="I69" s="321">
        <v>17.37</v>
      </c>
      <c r="J69" s="322"/>
      <c r="K69" s="322">
        <v>8.5</v>
      </c>
      <c r="L69" s="315">
        <v>8.5</v>
      </c>
      <c r="M69" s="315"/>
      <c r="N69" s="315">
        <v>9.11</v>
      </c>
      <c r="O69" s="315"/>
      <c r="P69" s="315">
        <v>11.13</v>
      </c>
      <c r="Q69" s="155">
        <v>5</v>
      </c>
      <c r="R69" s="303">
        <f t="shared" si="2"/>
        <v>46.550000000000004</v>
      </c>
      <c r="S69" s="25">
        <v>10</v>
      </c>
      <c r="T69" s="298">
        <f t="shared" si="9"/>
        <v>93.100000000000009</v>
      </c>
      <c r="U69" s="47">
        <v>5</v>
      </c>
      <c r="V69" s="289">
        <f t="shared" si="10"/>
        <v>46.550000000000004</v>
      </c>
      <c r="W69" s="43">
        <v>10</v>
      </c>
      <c r="X69" s="281">
        <f t="shared" si="11"/>
        <v>93.100000000000009</v>
      </c>
      <c r="Y69" s="37">
        <v>10</v>
      </c>
      <c r="Z69" s="271">
        <f t="shared" si="12"/>
        <v>93.100000000000009</v>
      </c>
    </row>
    <row r="70" spans="1:26" x14ac:dyDescent="0.25">
      <c r="A70" s="142" t="s">
        <v>1243</v>
      </c>
      <c r="B70" s="55"/>
      <c r="C70" s="131" t="s">
        <v>29</v>
      </c>
      <c r="D70" s="136" t="s">
        <v>1</v>
      </c>
      <c r="E70" s="153">
        <f t="shared" si="13"/>
        <v>40</v>
      </c>
      <c r="F70" s="348">
        <f t="shared" si="4"/>
        <v>9.9166666666666661</v>
      </c>
      <c r="G70" s="343">
        <f t="shared" si="14"/>
        <v>396.66666666666663</v>
      </c>
      <c r="H70" s="152" t="s">
        <v>1110</v>
      </c>
      <c r="I70" s="321">
        <v>19.899999999999999</v>
      </c>
      <c r="J70" s="322"/>
      <c r="K70" s="322">
        <v>9.5</v>
      </c>
      <c r="L70" s="315"/>
      <c r="M70" s="315"/>
      <c r="N70" s="315">
        <v>9.1199999999999992</v>
      </c>
      <c r="O70" s="315"/>
      <c r="P70" s="315">
        <v>11.13</v>
      </c>
      <c r="Q70" s="155">
        <v>5</v>
      </c>
      <c r="R70" s="303">
        <f t="shared" si="2"/>
        <v>49.583333333333329</v>
      </c>
      <c r="S70" s="25">
        <v>10</v>
      </c>
      <c r="T70" s="298">
        <f t="shared" si="9"/>
        <v>99.166666666666657</v>
      </c>
      <c r="U70" s="47">
        <v>5</v>
      </c>
      <c r="V70" s="289">
        <f t="shared" si="10"/>
        <v>49.583333333333329</v>
      </c>
      <c r="W70" s="43">
        <v>10</v>
      </c>
      <c r="X70" s="281">
        <f t="shared" si="11"/>
        <v>99.166666666666657</v>
      </c>
      <c r="Y70" s="37">
        <v>10</v>
      </c>
      <c r="Z70" s="271">
        <f t="shared" si="12"/>
        <v>99.166666666666657</v>
      </c>
    </row>
    <row r="71" spans="1:26" x14ac:dyDescent="0.25">
      <c r="A71" s="142" t="s">
        <v>1244</v>
      </c>
      <c r="B71" s="55"/>
      <c r="C71" s="131" t="s">
        <v>30</v>
      </c>
      <c r="D71" s="136" t="s">
        <v>1</v>
      </c>
      <c r="E71" s="153">
        <f t="shared" si="13"/>
        <v>35</v>
      </c>
      <c r="F71" s="348">
        <f t="shared" si="4"/>
        <v>8.6840000000000011</v>
      </c>
      <c r="G71" s="343">
        <f t="shared" si="14"/>
        <v>303.94000000000005</v>
      </c>
      <c r="H71" s="152" t="s">
        <v>1110</v>
      </c>
      <c r="I71" s="321">
        <v>10.07</v>
      </c>
      <c r="J71" s="322">
        <v>8.49</v>
      </c>
      <c r="K71" s="322">
        <v>8.5</v>
      </c>
      <c r="L71" s="315">
        <v>9.19</v>
      </c>
      <c r="M71" s="315"/>
      <c r="N71" s="315">
        <v>6.11</v>
      </c>
      <c r="O71" s="315"/>
      <c r="P71" s="315">
        <v>11.13</v>
      </c>
      <c r="Q71" s="155">
        <v>5</v>
      </c>
      <c r="R71" s="303">
        <f t="shared" si="2"/>
        <v>43.42</v>
      </c>
      <c r="S71" s="25">
        <v>10</v>
      </c>
      <c r="T71" s="298">
        <f t="shared" si="9"/>
        <v>86.84</v>
      </c>
      <c r="U71" s="47">
        <v>5</v>
      </c>
      <c r="V71" s="289">
        <f t="shared" si="10"/>
        <v>43.42</v>
      </c>
      <c r="W71" s="43">
        <v>5</v>
      </c>
      <c r="X71" s="281">
        <f t="shared" si="11"/>
        <v>43.42</v>
      </c>
      <c r="Y71" s="37">
        <v>10</v>
      </c>
      <c r="Z71" s="271">
        <f t="shared" si="12"/>
        <v>86.84</v>
      </c>
    </row>
    <row r="72" spans="1:26" x14ac:dyDescent="0.25">
      <c r="A72" s="142" t="s">
        <v>1245</v>
      </c>
      <c r="B72" s="55"/>
      <c r="C72" s="131" t="s">
        <v>31</v>
      </c>
      <c r="D72" s="136" t="s">
        <v>1</v>
      </c>
      <c r="E72" s="153">
        <f t="shared" si="13"/>
        <v>35</v>
      </c>
      <c r="F72" s="348">
        <f t="shared" si="4"/>
        <v>59.615000000000002</v>
      </c>
      <c r="G72" s="343">
        <f t="shared" si="14"/>
        <v>2086.5250000000001</v>
      </c>
      <c r="H72" s="152" t="s">
        <v>1110</v>
      </c>
      <c r="I72" s="321">
        <v>117.06</v>
      </c>
      <c r="J72" s="322">
        <v>73.84</v>
      </c>
      <c r="K72" s="322">
        <v>45.39</v>
      </c>
      <c r="L72" s="315"/>
      <c r="M72" s="315"/>
      <c r="N72" s="315"/>
      <c r="O72" s="315"/>
      <c r="P72" s="315"/>
      <c r="Q72" s="155">
        <v>5</v>
      </c>
      <c r="R72" s="303">
        <f t="shared" si="2"/>
        <v>298.07499999999999</v>
      </c>
      <c r="S72" s="25">
        <v>10</v>
      </c>
      <c r="T72" s="298">
        <f t="shared" si="9"/>
        <v>596.15</v>
      </c>
      <c r="U72" s="47">
        <v>5</v>
      </c>
      <c r="V72" s="289">
        <f t="shared" si="10"/>
        <v>298.07499999999999</v>
      </c>
      <c r="W72" s="43">
        <v>5</v>
      </c>
      <c r="X72" s="281">
        <f t="shared" si="11"/>
        <v>298.07499999999999</v>
      </c>
      <c r="Y72" s="37">
        <v>10</v>
      </c>
      <c r="Z72" s="271">
        <f t="shared" si="12"/>
        <v>596.15</v>
      </c>
    </row>
    <row r="73" spans="1:26" x14ac:dyDescent="0.25">
      <c r="A73" s="142" t="s">
        <v>1246</v>
      </c>
      <c r="B73">
        <v>34653</v>
      </c>
      <c r="C73" s="121" t="s">
        <v>279</v>
      </c>
      <c r="D73" s="149" t="s">
        <v>229</v>
      </c>
      <c r="E73" s="153">
        <f t="shared" si="13"/>
        <v>31</v>
      </c>
      <c r="F73" s="348">
        <f t="shared" si="4"/>
        <v>9.288333333333334</v>
      </c>
      <c r="G73" s="343">
        <f t="shared" si="14"/>
        <v>287.93833333333333</v>
      </c>
      <c r="H73" s="152" t="s">
        <v>1110</v>
      </c>
      <c r="I73" s="321">
        <v>9.4</v>
      </c>
      <c r="J73" s="322">
        <v>8.8000000000000007</v>
      </c>
      <c r="K73" s="322">
        <v>10</v>
      </c>
      <c r="L73" s="315">
        <v>8.69</v>
      </c>
      <c r="M73" s="315">
        <v>11</v>
      </c>
      <c r="N73" s="315">
        <v>6.11</v>
      </c>
      <c r="O73" s="315"/>
      <c r="P73" s="315">
        <v>11.13</v>
      </c>
      <c r="Q73" s="155">
        <v>5</v>
      </c>
      <c r="R73" s="303">
        <f t="shared" si="2"/>
        <v>46.44166666666667</v>
      </c>
      <c r="S73" s="25">
        <v>9</v>
      </c>
      <c r="T73" s="298">
        <f t="shared" si="9"/>
        <v>83.594999999999999</v>
      </c>
      <c r="U73" s="47">
        <v>4</v>
      </c>
      <c r="V73" s="289">
        <f t="shared" si="10"/>
        <v>37.153333333333336</v>
      </c>
      <c r="W73" s="43">
        <v>4</v>
      </c>
      <c r="X73" s="281">
        <f t="shared" si="11"/>
        <v>37.153333333333336</v>
      </c>
      <c r="Y73" s="37">
        <v>9</v>
      </c>
      <c r="Z73" s="271">
        <f t="shared" si="12"/>
        <v>83.594999999999999</v>
      </c>
    </row>
    <row r="74" spans="1:26" x14ac:dyDescent="0.25">
      <c r="A74" s="142" t="s">
        <v>1247</v>
      </c>
      <c r="B74">
        <v>34686</v>
      </c>
      <c r="C74" s="121" t="s">
        <v>276</v>
      </c>
      <c r="D74" s="149" t="s">
        <v>229</v>
      </c>
      <c r="E74" s="153">
        <f t="shared" si="13"/>
        <v>0</v>
      </c>
      <c r="F74" s="348">
        <f t="shared" si="4"/>
        <v>13.05</v>
      </c>
      <c r="G74" s="343">
        <f t="shared" si="14"/>
        <v>0</v>
      </c>
      <c r="H74" s="6" t="s">
        <v>175</v>
      </c>
      <c r="I74" s="318"/>
      <c r="J74" s="318">
        <v>13.05</v>
      </c>
      <c r="K74" s="318"/>
      <c r="L74" s="318"/>
      <c r="M74" s="318"/>
      <c r="N74" s="318"/>
      <c r="O74" s="318"/>
      <c r="P74" s="318"/>
      <c r="Q74" s="156"/>
      <c r="R74" s="303">
        <f t="shared" si="2"/>
        <v>0</v>
      </c>
      <c r="S74" s="173"/>
      <c r="T74" s="298">
        <f t="shared" si="9"/>
        <v>0</v>
      </c>
      <c r="U74" s="158"/>
      <c r="V74" s="289">
        <f t="shared" si="10"/>
        <v>0</v>
      </c>
      <c r="W74" s="159"/>
      <c r="X74" s="281">
        <f t="shared" si="11"/>
        <v>0</v>
      </c>
      <c r="Y74" s="161"/>
      <c r="Z74" s="271">
        <f t="shared" si="12"/>
        <v>0</v>
      </c>
    </row>
    <row r="75" spans="1:26" x14ac:dyDescent="0.25">
      <c r="A75" s="142" t="s">
        <v>1248</v>
      </c>
      <c r="B75">
        <v>34623</v>
      </c>
      <c r="C75" s="121" t="s">
        <v>278</v>
      </c>
      <c r="D75" s="149" t="s">
        <v>229</v>
      </c>
      <c r="E75" s="153">
        <f t="shared" si="13"/>
        <v>0</v>
      </c>
      <c r="F75" s="348">
        <f t="shared" si="4"/>
        <v>49.68</v>
      </c>
      <c r="G75" s="343">
        <f t="shared" si="14"/>
        <v>0</v>
      </c>
      <c r="H75" s="6" t="s">
        <v>175</v>
      </c>
      <c r="I75" s="318"/>
      <c r="J75" s="318">
        <v>49.68</v>
      </c>
      <c r="K75" s="318"/>
      <c r="L75" s="318"/>
      <c r="M75" s="318"/>
      <c r="N75" s="318"/>
      <c r="O75" s="318"/>
      <c r="P75" s="318"/>
      <c r="Q75" s="156"/>
      <c r="R75" s="303">
        <f t="shared" ref="R75:R138" si="15">$F75*Q75</f>
        <v>0</v>
      </c>
      <c r="S75" s="173"/>
      <c r="T75" s="298">
        <f t="shared" si="9"/>
        <v>0</v>
      </c>
      <c r="U75" s="158"/>
      <c r="V75" s="289">
        <f t="shared" si="10"/>
        <v>0</v>
      </c>
      <c r="W75" s="159"/>
      <c r="X75" s="281">
        <f t="shared" si="11"/>
        <v>0</v>
      </c>
      <c r="Y75" s="161"/>
      <c r="Z75" s="271">
        <f t="shared" si="12"/>
        <v>0</v>
      </c>
    </row>
    <row r="76" spans="1:26" x14ac:dyDescent="0.25">
      <c r="A76" s="142" t="s">
        <v>1249</v>
      </c>
      <c r="B76">
        <v>34616</v>
      </c>
      <c r="C76" s="121" t="s">
        <v>277</v>
      </c>
      <c r="D76" s="149" t="s">
        <v>229</v>
      </c>
      <c r="E76" s="153">
        <f t="shared" si="13"/>
        <v>0</v>
      </c>
      <c r="F76" s="348">
        <f t="shared" ref="F76:F139" si="16">IF(H76="SINAPI",J76,AVERAGE(J76:P76))</f>
        <v>50.45</v>
      </c>
      <c r="G76" s="343">
        <f t="shared" si="14"/>
        <v>0</v>
      </c>
      <c r="H76" s="6" t="s">
        <v>175</v>
      </c>
      <c r="I76" s="318"/>
      <c r="J76" s="318">
        <v>50.45</v>
      </c>
      <c r="K76" s="318"/>
      <c r="L76" s="318"/>
      <c r="M76" s="318"/>
      <c r="N76" s="318"/>
      <c r="O76" s="318"/>
      <c r="P76" s="318"/>
      <c r="Q76" s="156"/>
      <c r="R76" s="303">
        <f t="shared" si="15"/>
        <v>0</v>
      </c>
      <c r="S76" s="173"/>
      <c r="T76" s="298">
        <f t="shared" si="9"/>
        <v>0</v>
      </c>
      <c r="U76" s="158"/>
      <c r="V76" s="289">
        <f t="shared" si="10"/>
        <v>0</v>
      </c>
      <c r="W76" s="159"/>
      <c r="X76" s="281">
        <f t="shared" si="11"/>
        <v>0</v>
      </c>
      <c r="Y76" s="161"/>
      <c r="Z76" s="271">
        <f t="shared" si="12"/>
        <v>0</v>
      </c>
    </row>
    <row r="77" spans="1:26" x14ac:dyDescent="0.25">
      <c r="A77" s="142" t="s">
        <v>1250</v>
      </c>
      <c r="B77">
        <v>34709</v>
      </c>
      <c r="C77" s="121" t="s">
        <v>280</v>
      </c>
      <c r="D77" s="149" t="s">
        <v>229</v>
      </c>
      <c r="E77" s="153">
        <f t="shared" si="13"/>
        <v>0</v>
      </c>
      <c r="F77" s="348">
        <f t="shared" si="16"/>
        <v>61.81</v>
      </c>
      <c r="G77" s="343">
        <f t="shared" si="14"/>
        <v>0</v>
      </c>
      <c r="H77" s="6" t="s">
        <v>175</v>
      </c>
      <c r="I77" s="318"/>
      <c r="J77" s="318">
        <v>61.81</v>
      </c>
      <c r="K77" s="318"/>
      <c r="L77" s="318"/>
      <c r="M77" s="318"/>
      <c r="N77" s="318"/>
      <c r="O77" s="318"/>
      <c r="P77" s="318"/>
      <c r="Q77" s="156"/>
      <c r="R77" s="303">
        <f t="shared" si="15"/>
        <v>0</v>
      </c>
      <c r="S77" s="173"/>
      <c r="T77" s="298">
        <f t="shared" si="9"/>
        <v>0</v>
      </c>
      <c r="U77" s="158"/>
      <c r="V77" s="289">
        <f t="shared" si="10"/>
        <v>0</v>
      </c>
      <c r="W77" s="159"/>
      <c r="X77" s="281">
        <f t="shared" si="11"/>
        <v>0</v>
      </c>
      <c r="Y77" s="161"/>
      <c r="Z77" s="271">
        <f t="shared" si="12"/>
        <v>0</v>
      </c>
    </row>
    <row r="78" spans="1:26" ht="30" x14ac:dyDescent="0.25">
      <c r="A78" s="142" t="s">
        <v>1251</v>
      </c>
      <c r="B78">
        <v>2370</v>
      </c>
      <c r="C78" s="121" t="s">
        <v>281</v>
      </c>
      <c r="D78" s="149" t="s">
        <v>229</v>
      </c>
      <c r="E78" s="153">
        <f t="shared" si="13"/>
        <v>80</v>
      </c>
      <c r="F78" s="348">
        <f t="shared" si="16"/>
        <v>11</v>
      </c>
      <c r="G78" s="343">
        <f t="shared" si="14"/>
        <v>880</v>
      </c>
      <c r="H78" s="6" t="s">
        <v>175</v>
      </c>
      <c r="I78" s="321"/>
      <c r="J78" s="322">
        <v>11</v>
      </c>
      <c r="K78" s="322">
        <v>17.399999999999999</v>
      </c>
      <c r="L78" s="315">
        <v>12.99</v>
      </c>
      <c r="M78" s="315"/>
      <c r="N78" s="315">
        <v>8.5399999999999991</v>
      </c>
      <c r="O78" s="315"/>
      <c r="P78" s="315">
        <v>11.13</v>
      </c>
      <c r="Q78" s="156">
        <v>10</v>
      </c>
      <c r="R78" s="303">
        <f t="shared" si="15"/>
        <v>110</v>
      </c>
      <c r="S78" s="173">
        <v>20</v>
      </c>
      <c r="T78" s="298">
        <f t="shared" si="9"/>
        <v>220</v>
      </c>
      <c r="U78" s="158">
        <v>10</v>
      </c>
      <c r="V78" s="289">
        <f t="shared" si="10"/>
        <v>110</v>
      </c>
      <c r="W78" s="159">
        <v>20</v>
      </c>
      <c r="X78" s="281">
        <f t="shared" si="11"/>
        <v>220</v>
      </c>
      <c r="Y78" s="161">
        <v>20</v>
      </c>
      <c r="Z78" s="271">
        <f t="shared" si="12"/>
        <v>220</v>
      </c>
    </row>
    <row r="79" spans="1:26" ht="30" x14ac:dyDescent="0.25">
      <c r="A79" s="142" t="s">
        <v>1252</v>
      </c>
      <c r="B79">
        <v>2386</v>
      </c>
      <c r="C79" s="121" t="s">
        <v>282</v>
      </c>
      <c r="D79" s="149" t="s">
        <v>229</v>
      </c>
      <c r="E79" s="153">
        <f t="shared" si="13"/>
        <v>44</v>
      </c>
      <c r="F79" s="348">
        <f t="shared" si="16"/>
        <v>18.45</v>
      </c>
      <c r="G79" s="343">
        <f t="shared" si="14"/>
        <v>811.8</v>
      </c>
      <c r="H79" s="6" t="s">
        <v>175</v>
      </c>
      <c r="I79" s="321"/>
      <c r="J79" s="322">
        <v>18.45</v>
      </c>
      <c r="K79" s="322">
        <v>33.6</v>
      </c>
      <c r="L79" s="315">
        <v>21.9</v>
      </c>
      <c r="M79" s="315"/>
      <c r="N79" s="315">
        <v>15.27</v>
      </c>
      <c r="O79" s="315"/>
      <c r="P79" s="315">
        <v>11.13</v>
      </c>
      <c r="Q79" s="155">
        <v>5</v>
      </c>
      <c r="R79" s="303">
        <f t="shared" si="15"/>
        <v>92.25</v>
      </c>
      <c r="S79" s="25">
        <v>11</v>
      </c>
      <c r="T79" s="298">
        <f t="shared" si="9"/>
        <v>202.95</v>
      </c>
      <c r="U79" s="47">
        <v>6</v>
      </c>
      <c r="V79" s="289">
        <f t="shared" si="10"/>
        <v>110.69999999999999</v>
      </c>
      <c r="W79" s="43">
        <v>11</v>
      </c>
      <c r="X79" s="281">
        <f t="shared" si="11"/>
        <v>202.95</v>
      </c>
      <c r="Y79" s="37">
        <v>11</v>
      </c>
      <c r="Z79" s="271">
        <f t="shared" si="12"/>
        <v>202.95</v>
      </c>
    </row>
    <row r="80" spans="1:26" ht="30" x14ac:dyDescent="0.25">
      <c r="A80" s="142" t="s">
        <v>1253</v>
      </c>
      <c r="B80">
        <v>39243</v>
      </c>
      <c r="C80" s="121" t="s">
        <v>1026</v>
      </c>
      <c r="D80" t="s">
        <v>237</v>
      </c>
      <c r="E80" s="153">
        <f t="shared" si="13"/>
        <v>0</v>
      </c>
      <c r="F80" s="270">
        <v>1.51</v>
      </c>
      <c r="G80" s="343">
        <f t="shared" si="14"/>
        <v>0</v>
      </c>
      <c r="H80" t="s">
        <v>175</v>
      </c>
      <c r="I80" s="321"/>
      <c r="J80" s="321">
        <v>1.51</v>
      </c>
      <c r="K80" s="321"/>
      <c r="L80" s="321"/>
      <c r="M80" s="321"/>
      <c r="N80" s="321"/>
      <c r="O80" s="321"/>
      <c r="P80" s="321"/>
      <c r="Q80" s="156"/>
      <c r="R80" s="303">
        <f t="shared" ref="R80:R82" si="17">$F80*Q80</f>
        <v>0</v>
      </c>
      <c r="S80" s="173"/>
      <c r="T80" s="298">
        <f t="shared" si="9"/>
        <v>0</v>
      </c>
      <c r="U80" s="158"/>
      <c r="V80" s="289">
        <f t="shared" si="10"/>
        <v>0</v>
      </c>
      <c r="W80" s="159"/>
      <c r="X80" s="281">
        <f t="shared" si="11"/>
        <v>0</v>
      </c>
      <c r="Y80" s="161"/>
      <c r="Z80" s="271">
        <f t="shared" si="12"/>
        <v>0</v>
      </c>
    </row>
    <row r="81" spans="1:26" ht="30" x14ac:dyDescent="0.25">
      <c r="A81" s="142" t="s">
        <v>1254</v>
      </c>
      <c r="B81">
        <v>39244</v>
      </c>
      <c r="C81" s="121" t="s">
        <v>1027</v>
      </c>
      <c r="D81" t="s">
        <v>237</v>
      </c>
      <c r="E81" s="153">
        <f t="shared" si="13"/>
        <v>0</v>
      </c>
      <c r="F81" s="270">
        <v>2.04</v>
      </c>
      <c r="G81" s="343">
        <f t="shared" si="14"/>
        <v>0</v>
      </c>
      <c r="H81" t="s">
        <v>175</v>
      </c>
      <c r="I81" s="321"/>
      <c r="J81" s="321">
        <v>2.04</v>
      </c>
      <c r="K81" s="321"/>
      <c r="L81" s="321"/>
      <c r="M81" s="321"/>
      <c r="N81" s="321"/>
      <c r="O81" s="321"/>
      <c r="P81" s="321"/>
      <c r="Q81" s="156"/>
      <c r="R81" s="303">
        <f t="shared" si="17"/>
        <v>0</v>
      </c>
      <c r="S81" s="173"/>
      <c r="T81" s="298">
        <f t="shared" si="9"/>
        <v>0</v>
      </c>
      <c r="U81" s="158"/>
      <c r="V81" s="289">
        <f t="shared" si="10"/>
        <v>0</v>
      </c>
      <c r="W81" s="159"/>
      <c r="X81" s="281">
        <f t="shared" si="11"/>
        <v>0</v>
      </c>
      <c r="Y81" s="161"/>
      <c r="Z81" s="271">
        <f t="shared" si="12"/>
        <v>0</v>
      </c>
    </row>
    <row r="82" spans="1:26" ht="30" x14ac:dyDescent="0.25">
      <c r="A82" s="142" t="s">
        <v>1255</v>
      </c>
      <c r="B82">
        <v>39245</v>
      </c>
      <c r="C82" s="121" t="s">
        <v>1028</v>
      </c>
      <c r="D82" t="s">
        <v>237</v>
      </c>
      <c r="E82" s="153">
        <f t="shared" si="13"/>
        <v>0</v>
      </c>
      <c r="F82" s="270">
        <v>3.93</v>
      </c>
      <c r="G82" s="343">
        <f t="shared" si="14"/>
        <v>0</v>
      </c>
      <c r="H82" t="s">
        <v>175</v>
      </c>
      <c r="I82" s="321"/>
      <c r="J82" s="321">
        <v>3.93</v>
      </c>
      <c r="K82" s="321"/>
      <c r="L82" s="321"/>
      <c r="M82" s="321"/>
      <c r="N82" s="321"/>
      <c r="O82" s="321"/>
      <c r="P82" s="321"/>
      <c r="Q82" s="156"/>
      <c r="R82" s="303">
        <f t="shared" si="17"/>
        <v>0</v>
      </c>
      <c r="S82" s="173"/>
      <c r="T82" s="298">
        <f t="shared" si="9"/>
        <v>0</v>
      </c>
      <c r="U82" s="158"/>
      <c r="V82" s="289">
        <f t="shared" si="10"/>
        <v>0</v>
      </c>
      <c r="W82" s="159"/>
      <c r="X82" s="281">
        <f t="shared" si="11"/>
        <v>0</v>
      </c>
      <c r="Y82" s="161"/>
      <c r="Z82" s="271">
        <f t="shared" si="12"/>
        <v>0</v>
      </c>
    </row>
    <row r="83" spans="1:26" ht="30" x14ac:dyDescent="0.25">
      <c r="A83" s="142" t="s">
        <v>1256</v>
      </c>
      <c r="B83">
        <v>38091</v>
      </c>
      <c r="C83" s="121" t="s">
        <v>312</v>
      </c>
      <c r="D83" s="149" t="s">
        <v>229</v>
      </c>
      <c r="E83" s="153">
        <f t="shared" si="13"/>
        <v>0</v>
      </c>
      <c r="F83" s="348">
        <f t="shared" si="16"/>
        <v>2.36</v>
      </c>
      <c r="G83" s="343">
        <f t="shared" si="14"/>
        <v>0</v>
      </c>
      <c r="H83" s="6" t="s">
        <v>175</v>
      </c>
      <c r="I83" s="318"/>
      <c r="J83" s="318">
        <v>2.36</v>
      </c>
      <c r="K83" s="318"/>
      <c r="L83" s="318"/>
      <c r="M83" s="318"/>
      <c r="N83" s="318"/>
      <c r="O83" s="318"/>
      <c r="P83" s="318"/>
      <c r="Q83" s="156"/>
      <c r="R83" s="303">
        <f t="shared" si="15"/>
        <v>0</v>
      </c>
      <c r="S83" s="173"/>
      <c r="T83" s="298">
        <f t="shared" ref="T83:T146" si="18">$F83*S83</f>
        <v>0</v>
      </c>
      <c r="U83" s="158"/>
      <c r="V83" s="289">
        <f t="shared" ref="V83:V146" si="19">$F83*U83</f>
        <v>0</v>
      </c>
      <c r="W83" s="159"/>
      <c r="X83" s="281">
        <f t="shared" ref="X83:X146" si="20">$F83*W83</f>
        <v>0</v>
      </c>
      <c r="Y83" s="161"/>
      <c r="Z83" s="271">
        <f t="shared" ref="Z83:Z146" si="21">$F83*Y83</f>
        <v>0</v>
      </c>
    </row>
    <row r="84" spans="1:26" ht="30" x14ac:dyDescent="0.25">
      <c r="A84" s="142" t="s">
        <v>1257</v>
      </c>
      <c r="B84">
        <v>38095</v>
      </c>
      <c r="C84" s="121" t="s">
        <v>313</v>
      </c>
      <c r="D84" s="149" t="s">
        <v>229</v>
      </c>
      <c r="E84" s="153">
        <f t="shared" si="13"/>
        <v>0</v>
      </c>
      <c r="F84" s="348">
        <f t="shared" si="16"/>
        <v>5</v>
      </c>
      <c r="G84" s="343">
        <f t="shared" si="14"/>
        <v>0</v>
      </c>
      <c r="H84" s="6" t="s">
        <v>175</v>
      </c>
      <c r="I84" s="318"/>
      <c r="J84" s="318">
        <v>5</v>
      </c>
      <c r="K84" s="318"/>
      <c r="L84" s="318"/>
      <c r="M84" s="318"/>
      <c r="N84" s="318"/>
      <c r="O84" s="318"/>
      <c r="P84" s="318"/>
      <c r="Q84" s="156"/>
      <c r="R84" s="303">
        <f t="shared" si="15"/>
        <v>0</v>
      </c>
      <c r="S84" s="173"/>
      <c r="T84" s="298">
        <f t="shared" si="18"/>
        <v>0</v>
      </c>
      <c r="U84" s="158"/>
      <c r="V84" s="289">
        <f t="shared" si="19"/>
        <v>0</v>
      </c>
      <c r="W84" s="159"/>
      <c r="X84" s="281">
        <f t="shared" si="20"/>
        <v>0</v>
      </c>
      <c r="Y84" s="161"/>
      <c r="Z84" s="271">
        <f t="shared" si="21"/>
        <v>0</v>
      </c>
    </row>
    <row r="85" spans="1:26" ht="30" x14ac:dyDescent="0.25">
      <c r="A85" s="142" t="s">
        <v>1258</v>
      </c>
      <c r="B85">
        <v>38092</v>
      </c>
      <c r="C85" s="121" t="s">
        <v>314</v>
      </c>
      <c r="D85" s="149" t="s">
        <v>229</v>
      </c>
      <c r="E85" s="153">
        <f t="shared" si="13"/>
        <v>0</v>
      </c>
      <c r="F85" s="348">
        <f t="shared" si="16"/>
        <v>2.2400000000000002</v>
      </c>
      <c r="G85" s="343">
        <f t="shared" si="14"/>
        <v>0</v>
      </c>
      <c r="H85" s="6" t="s">
        <v>175</v>
      </c>
      <c r="I85" s="318"/>
      <c r="J85" s="318">
        <v>2.2400000000000002</v>
      </c>
      <c r="K85" s="318"/>
      <c r="L85" s="318"/>
      <c r="M85" s="318"/>
      <c r="N85" s="318"/>
      <c r="O85" s="318"/>
      <c r="P85" s="318"/>
      <c r="Q85" s="156"/>
      <c r="R85" s="303">
        <f t="shared" si="15"/>
        <v>0</v>
      </c>
      <c r="S85" s="173"/>
      <c r="T85" s="298">
        <f t="shared" si="18"/>
        <v>0</v>
      </c>
      <c r="U85" s="158"/>
      <c r="V85" s="289">
        <f t="shared" si="19"/>
        <v>0</v>
      </c>
      <c r="W85" s="159"/>
      <c r="X85" s="281">
        <f t="shared" si="20"/>
        <v>0</v>
      </c>
      <c r="Y85" s="161"/>
      <c r="Z85" s="271">
        <f t="shared" si="21"/>
        <v>0</v>
      </c>
    </row>
    <row r="86" spans="1:26" ht="30" x14ac:dyDescent="0.25">
      <c r="A86" s="142" t="s">
        <v>1259</v>
      </c>
      <c r="B86">
        <v>38093</v>
      </c>
      <c r="C86" s="121" t="s">
        <v>315</v>
      </c>
      <c r="D86" s="149" t="s">
        <v>229</v>
      </c>
      <c r="E86" s="153">
        <f t="shared" si="13"/>
        <v>0</v>
      </c>
      <c r="F86" s="348">
        <f t="shared" si="16"/>
        <v>2.31</v>
      </c>
      <c r="G86" s="343">
        <f t="shared" si="14"/>
        <v>0</v>
      </c>
      <c r="H86" s="6" t="s">
        <v>175</v>
      </c>
      <c r="I86" s="318"/>
      <c r="J86" s="318">
        <v>2.31</v>
      </c>
      <c r="K86" s="318"/>
      <c r="L86" s="318"/>
      <c r="M86" s="318"/>
      <c r="N86" s="318"/>
      <c r="O86" s="318"/>
      <c r="P86" s="318"/>
      <c r="Q86" s="156"/>
      <c r="R86" s="303">
        <f t="shared" si="15"/>
        <v>0</v>
      </c>
      <c r="S86" s="173"/>
      <c r="T86" s="298">
        <f t="shared" si="18"/>
        <v>0</v>
      </c>
      <c r="U86" s="158"/>
      <c r="V86" s="289">
        <f t="shared" si="19"/>
        <v>0</v>
      </c>
      <c r="W86" s="159"/>
      <c r="X86" s="281">
        <f t="shared" si="20"/>
        <v>0</v>
      </c>
      <c r="Y86" s="161"/>
      <c r="Z86" s="271">
        <f t="shared" si="21"/>
        <v>0</v>
      </c>
    </row>
    <row r="87" spans="1:26" ht="30" x14ac:dyDescent="0.25">
      <c r="A87" s="142" t="s">
        <v>1260</v>
      </c>
      <c r="B87">
        <v>38096</v>
      </c>
      <c r="C87" s="121" t="s">
        <v>316</v>
      </c>
      <c r="D87" s="149" t="s">
        <v>229</v>
      </c>
      <c r="E87" s="153">
        <f t="shared" si="13"/>
        <v>0</v>
      </c>
      <c r="F87" s="348">
        <f t="shared" si="16"/>
        <v>5.37</v>
      </c>
      <c r="G87" s="343">
        <f t="shared" si="14"/>
        <v>0</v>
      </c>
      <c r="H87" s="6" t="s">
        <v>175</v>
      </c>
      <c r="I87" s="318"/>
      <c r="J87" s="318">
        <v>5.37</v>
      </c>
      <c r="K87" s="318"/>
      <c r="L87" s="318"/>
      <c r="M87" s="318"/>
      <c r="N87" s="318"/>
      <c r="O87" s="318"/>
      <c r="P87" s="318"/>
      <c r="Q87" s="156"/>
      <c r="R87" s="303">
        <f t="shared" si="15"/>
        <v>0</v>
      </c>
      <c r="S87" s="173"/>
      <c r="T87" s="298">
        <f t="shared" si="18"/>
        <v>0</v>
      </c>
      <c r="U87" s="158"/>
      <c r="V87" s="289">
        <f t="shared" si="19"/>
        <v>0</v>
      </c>
      <c r="W87" s="159"/>
      <c r="X87" s="281">
        <f t="shared" si="20"/>
        <v>0</v>
      </c>
      <c r="Y87" s="161"/>
      <c r="Z87" s="271">
        <f t="shared" si="21"/>
        <v>0</v>
      </c>
    </row>
    <row r="88" spans="1:26" ht="30" x14ac:dyDescent="0.25">
      <c r="A88" s="142" t="s">
        <v>1261</v>
      </c>
      <c r="B88">
        <v>38094</v>
      </c>
      <c r="C88" s="121" t="s">
        <v>317</v>
      </c>
      <c r="D88" s="149" t="s">
        <v>229</v>
      </c>
      <c r="E88" s="153">
        <f t="shared" si="13"/>
        <v>0</v>
      </c>
      <c r="F88" s="348">
        <f t="shared" si="16"/>
        <v>2.83</v>
      </c>
      <c r="G88" s="343">
        <f t="shared" si="14"/>
        <v>0</v>
      </c>
      <c r="H88" s="6" t="s">
        <v>175</v>
      </c>
      <c r="I88" s="318"/>
      <c r="J88" s="318">
        <v>2.83</v>
      </c>
      <c r="K88" s="318"/>
      <c r="L88" s="318"/>
      <c r="M88" s="318"/>
      <c r="N88" s="318"/>
      <c r="O88" s="318"/>
      <c r="P88" s="318"/>
      <c r="Q88" s="156"/>
      <c r="R88" s="303">
        <f t="shared" si="15"/>
        <v>0</v>
      </c>
      <c r="S88" s="173"/>
      <c r="T88" s="298">
        <f t="shared" si="18"/>
        <v>0</v>
      </c>
      <c r="U88" s="158"/>
      <c r="V88" s="289">
        <f t="shared" si="19"/>
        <v>0</v>
      </c>
      <c r="W88" s="159"/>
      <c r="X88" s="281">
        <f t="shared" si="20"/>
        <v>0</v>
      </c>
      <c r="Y88" s="161"/>
      <c r="Z88" s="271">
        <f t="shared" si="21"/>
        <v>0</v>
      </c>
    </row>
    <row r="89" spans="1:26" ht="30" x14ac:dyDescent="0.25">
      <c r="A89" s="142" t="s">
        <v>1262</v>
      </c>
      <c r="B89">
        <v>38097</v>
      </c>
      <c r="C89" s="121" t="s">
        <v>318</v>
      </c>
      <c r="D89" s="149" t="s">
        <v>229</v>
      </c>
      <c r="E89" s="153">
        <f t="shared" si="13"/>
        <v>0</v>
      </c>
      <c r="F89" s="348">
        <f t="shared" si="16"/>
        <v>5.76</v>
      </c>
      <c r="G89" s="343">
        <f t="shared" si="14"/>
        <v>0</v>
      </c>
      <c r="H89" s="6" t="s">
        <v>175</v>
      </c>
      <c r="I89" s="318"/>
      <c r="J89" s="318">
        <v>5.76</v>
      </c>
      <c r="K89" s="318"/>
      <c r="L89" s="318"/>
      <c r="M89" s="318"/>
      <c r="N89" s="318"/>
      <c r="O89" s="318"/>
      <c r="P89" s="318"/>
      <c r="Q89" s="156"/>
      <c r="R89" s="303">
        <f t="shared" si="15"/>
        <v>0</v>
      </c>
      <c r="S89" s="173"/>
      <c r="T89" s="298">
        <f t="shared" si="18"/>
        <v>0</v>
      </c>
      <c r="U89" s="158"/>
      <c r="V89" s="289">
        <f t="shared" si="19"/>
        <v>0</v>
      </c>
      <c r="W89" s="159"/>
      <c r="X89" s="281">
        <f t="shared" si="20"/>
        <v>0</v>
      </c>
      <c r="Y89" s="161"/>
      <c r="Z89" s="271">
        <f t="shared" si="21"/>
        <v>0</v>
      </c>
    </row>
    <row r="90" spans="1:26" ht="30" x14ac:dyDescent="0.25">
      <c r="A90" s="142" t="s">
        <v>1263</v>
      </c>
      <c r="B90">
        <v>38098</v>
      </c>
      <c r="C90" s="121" t="s">
        <v>319</v>
      </c>
      <c r="D90" s="149" t="s">
        <v>229</v>
      </c>
      <c r="E90" s="153">
        <f t="shared" si="13"/>
        <v>0</v>
      </c>
      <c r="F90" s="348">
        <f t="shared" si="16"/>
        <v>5.76</v>
      </c>
      <c r="G90" s="343">
        <f t="shared" si="14"/>
        <v>0</v>
      </c>
      <c r="H90" s="6" t="s">
        <v>175</v>
      </c>
      <c r="I90" s="318"/>
      <c r="J90" s="318">
        <v>5.76</v>
      </c>
      <c r="K90" s="318"/>
      <c r="L90" s="318"/>
      <c r="M90" s="318"/>
      <c r="N90" s="318"/>
      <c r="O90" s="318"/>
      <c r="P90" s="318"/>
      <c r="Q90" s="156"/>
      <c r="R90" s="303">
        <f t="shared" si="15"/>
        <v>0</v>
      </c>
      <c r="S90" s="173"/>
      <c r="T90" s="298">
        <f t="shared" si="18"/>
        <v>0</v>
      </c>
      <c r="U90" s="158"/>
      <c r="V90" s="289">
        <f t="shared" si="19"/>
        <v>0</v>
      </c>
      <c r="W90" s="159"/>
      <c r="X90" s="281">
        <f t="shared" si="20"/>
        <v>0</v>
      </c>
      <c r="Y90" s="161"/>
      <c r="Z90" s="271">
        <f t="shared" si="21"/>
        <v>0</v>
      </c>
    </row>
    <row r="91" spans="1:26" ht="30" x14ac:dyDescent="0.25">
      <c r="A91" s="142" t="s">
        <v>1264</v>
      </c>
      <c r="B91">
        <v>938</v>
      </c>
      <c r="C91" s="121" t="s">
        <v>341</v>
      </c>
      <c r="D91" s="149" t="s">
        <v>237</v>
      </c>
      <c r="E91" s="153">
        <f t="shared" si="13"/>
        <v>0</v>
      </c>
      <c r="F91" s="348">
        <f t="shared" si="16"/>
        <v>0.81</v>
      </c>
      <c r="G91" s="343">
        <f t="shared" si="14"/>
        <v>0</v>
      </c>
      <c r="H91" s="6" t="s">
        <v>175</v>
      </c>
      <c r="I91" s="318"/>
      <c r="J91" s="318">
        <v>0.81</v>
      </c>
      <c r="K91" s="318"/>
      <c r="L91" s="318"/>
      <c r="M91" s="318"/>
      <c r="N91" s="318"/>
      <c r="O91" s="318"/>
      <c r="P91" s="318"/>
      <c r="Q91" s="156"/>
      <c r="R91" s="303">
        <f t="shared" si="15"/>
        <v>0</v>
      </c>
      <c r="S91" s="173"/>
      <c r="T91" s="298">
        <f t="shared" si="18"/>
        <v>0</v>
      </c>
      <c r="U91" s="158"/>
      <c r="V91" s="289">
        <f t="shared" si="19"/>
        <v>0</v>
      </c>
      <c r="W91" s="159"/>
      <c r="X91" s="281">
        <f t="shared" si="20"/>
        <v>0</v>
      </c>
      <c r="Y91" s="161"/>
      <c r="Z91" s="271">
        <f t="shared" si="21"/>
        <v>0</v>
      </c>
    </row>
    <row r="92" spans="1:26" ht="30" x14ac:dyDescent="0.25">
      <c r="A92" s="142" t="s">
        <v>1265</v>
      </c>
      <c r="B92">
        <v>937</v>
      </c>
      <c r="C92" s="121" t="s">
        <v>342</v>
      </c>
      <c r="D92" s="149" t="s">
        <v>237</v>
      </c>
      <c r="E92" s="153">
        <f t="shared" si="13"/>
        <v>0</v>
      </c>
      <c r="F92" s="348">
        <f t="shared" si="16"/>
        <v>5.03</v>
      </c>
      <c r="G92" s="343">
        <f t="shared" si="14"/>
        <v>0</v>
      </c>
      <c r="H92" s="6" t="s">
        <v>175</v>
      </c>
      <c r="I92" s="318"/>
      <c r="J92" s="318">
        <v>5.03</v>
      </c>
      <c r="K92" s="318"/>
      <c r="L92" s="318"/>
      <c r="M92" s="318"/>
      <c r="N92" s="318"/>
      <c r="O92" s="318"/>
      <c r="P92" s="318"/>
      <c r="Q92" s="156"/>
      <c r="R92" s="303">
        <f t="shared" si="15"/>
        <v>0</v>
      </c>
      <c r="S92" s="173"/>
      <c r="T92" s="298">
        <f t="shared" si="18"/>
        <v>0</v>
      </c>
      <c r="U92" s="158"/>
      <c r="V92" s="289">
        <f t="shared" si="19"/>
        <v>0</v>
      </c>
      <c r="W92" s="159"/>
      <c r="X92" s="281">
        <f t="shared" si="20"/>
        <v>0</v>
      </c>
      <c r="Y92" s="161"/>
      <c r="Z92" s="271">
        <f t="shared" si="21"/>
        <v>0</v>
      </c>
    </row>
    <row r="93" spans="1:26" ht="30" x14ac:dyDescent="0.25">
      <c r="A93" s="142" t="s">
        <v>1266</v>
      </c>
      <c r="B93">
        <v>939</v>
      </c>
      <c r="C93" s="121" t="s">
        <v>343</v>
      </c>
      <c r="D93" s="149" t="s">
        <v>237</v>
      </c>
      <c r="E93" s="153">
        <f t="shared" si="13"/>
        <v>0</v>
      </c>
      <c r="F93" s="348">
        <f t="shared" si="16"/>
        <v>0</v>
      </c>
      <c r="G93" s="343">
        <f t="shared" si="14"/>
        <v>0</v>
      </c>
      <c r="H93" s="6" t="s">
        <v>175</v>
      </c>
      <c r="I93" s="318"/>
      <c r="J93" s="318"/>
      <c r="K93" s="318"/>
      <c r="L93" s="318"/>
      <c r="M93" s="318"/>
      <c r="N93" s="318"/>
      <c r="O93" s="318"/>
      <c r="P93" s="318"/>
      <c r="Q93" s="156"/>
      <c r="R93" s="303">
        <f t="shared" si="15"/>
        <v>0</v>
      </c>
      <c r="S93" s="173"/>
      <c r="T93" s="298">
        <f t="shared" si="18"/>
        <v>0</v>
      </c>
      <c r="U93" s="158"/>
      <c r="V93" s="289">
        <f t="shared" si="19"/>
        <v>0</v>
      </c>
      <c r="W93" s="159"/>
      <c r="X93" s="281">
        <f t="shared" si="20"/>
        <v>0</v>
      </c>
      <c r="Y93" s="161"/>
      <c r="Z93" s="271">
        <f t="shared" si="21"/>
        <v>0</v>
      </c>
    </row>
    <row r="94" spans="1:26" ht="30" x14ac:dyDescent="0.25">
      <c r="A94" s="142" t="s">
        <v>1267</v>
      </c>
      <c r="B94">
        <v>944</v>
      </c>
      <c r="C94" s="121" t="s">
        <v>344</v>
      </c>
      <c r="D94" s="149" t="s">
        <v>237</v>
      </c>
      <c r="E94" s="153">
        <f t="shared" si="13"/>
        <v>60</v>
      </c>
      <c r="F94" s="348">
        <f t="shared" si="16"/>
        <v>2.2200000000000002</v>
      </c>
      <c r="G94" s="343">
        <f t="shared" si="14"/>
        <v>133.20000000000002</v>
      </c>
      <c r="H94" s="6" t="s">
        <v>175</v>
      </c>
      <c r="I94" s="321">
        <v>1.41</v>
      </c>
      <c r="J94" s="322">
        <v>2.2200000000000002</v>
      </c>
      <c r="K94" s="322">
        <v>3</v>
      </c>
      <c r="L94" s="315"/>
      <c r="M94" s="315"/>
      <c r="N94" s="315"/>
      <c r="O94" s="315"/>
      <c r="P94" s="315">
        <v>2.48</v>
      </c>
      <c r="Q94" s="155">
        <v>5</v>
      </c>
      <c r="R94" s="303">
        <f t="shared" si="15"/>
        <v>11.100000000000001</v>
      </c>
      <c r="S94" s="25">
        <v>0</v>
      </c>
      <c r="T94" s="298">
        <f t="shared" si="18"/>
        <v>0</v>
      </c>
      <c r="U94" s="47">
        <v>5</v>
      </c>
      <c r="V94" s="289">
        <f t="shared" si="19"/>
        <v>11.100000000000001</v>
      </c>
      <c r="W94" s="43">
        <v>25</v>
      </c>
      <c r="X94" s="281">
        <f t="shared" si="20"/>
        <v>55.500000000000007</v>
      </c>
      <c r="Y94" s="37">
        <v>25</v>
      </c>
      <c r="Z94" s="271">
        <f t="shared" si="21"/>
        <v>55.500000000000007</v>
      </c>
    </row>
    <row r="95" spans="1:26" ht="30" x14ac:dyDescent="0.25">
      <c r="A95" s="142" t="s">
        <v>1268</v>
      </c>
      <c r="B95">
        <v>940</v>
      </c>
      <c r="C95" s="121" t="s">
        <v>345</v>
      </c>
      <c r="D95" s="149" t="s">
        <v>237</v>
      </c>
      <c r="E95" s="153">
        <f t="shared" si="13"/>
        <v>500</v>
      </c>
      <c r="F95" s="348">
        <f t="shared" si="16"/>
        <v>3.07</v>
      </c>
      <c r="G95" s="343">
        <f t="shared" si="14"/>
        <v>1535</v>
      </c>
      <c r="H95" s="6" t="s">
        <v>175</v>
      </c>
      <c r="I95" s="318"/>
      <c r="J95" s="318">
        <v>3.07</v>
      </c>
      <c r="K95" s="322">
        <v>4.26</v>
      </c>
      <c r="L95" s="315">
        <v>3.24</v>
      </c>
      <c r="M95" s="315"/>
      <c r="N95" s="315"/>
      <c r="O95" s="315"/>
      <c r="P95" s="315">
        <v>3.8</v>
      </c>
      <c r="Q95" s="156">
        <v>50</v>
      </c>
      <c r="R95" s="303">
        <f t="shared" si="15"/>
        <v>153.5</v>
      </c>
      <c r="S95" s="173">
        <v>0</v>
      </c>
      <c r="T95" s="298">
        <f t="shared" si="18"/>
        <v>0</v>
      </c>
      <c r="U95" s="158">
        <v>150</v>
      </c>
      <c r="V95" s="289">
        <f t="shared" si="19"/>
        <v>460.5</v>
      </c>
      <c r="W95" s="159">
        <v>150</v>
      </c>
      <c r="X95" s="281">
        <f t="shared" si="20"/>
        <v>460.5</v>
      </c>
      <c r="Y95" s="161">
        <v>150</v>
      </c>
      <c r="Z95" s="271">
        <f t="shared" si="21"/>
        <v>460.5</v>
      </c>
    </row>
    <row r="96" spans="1:26" x14ac:dyDescent="0.25">
      <c r="A96" s="142" t="s">
        <v>1269</v>
      </c>
      <c r="B96" s="55"/>
      <c r="C96" s="128" t="s">
        <v>32</v>
      </c>
      <c r="D96" s="134" t="s">
        <v>1</v>
      </c>
      <c r="E96" s="153">
        <f t="shared" si="13"/>
        <v>70</v>
      </c>
      <c r="F96" s="348">
        <f t="shared" si="16"/>
        <v>4.5419999999999998</v>
      </c>
      <c r="G96" s="343">
        <f t="shared" si="14"/>
        <v>317.94</v>
      </c>
      <c r="H96" s="152" t="s">
        <v>1110</v>
      </c>
      <c r="I96" s="321">
        <v>4.16</v>
      </c>
      <c r="J96" s="322"/>
      <c r="K96" s="322">
        <v>4.78</v>
      </c>
      <c r="L96" s="315">
        <v>5.49</v>
      </c>
      <c r="M96" s="315"/>
      <c r="N96" s="315">
        <v>3.55</v>
      </c>
      <c r="O96" s="315">
        <v>4.3899999999999997</v>
      </c>
      <c r="P96" s="315">
        <v>4.5</v>
      </c>
      <c r="Q96" s="155">
        <v>5</v>
      </c>
      <c r="R96" s="303">
        <f t="shared" si="15"/>
        <v>22.71</v>
      </c>
      <c r="S96" s="25">
        <v>30</v>
      </c>
      <c r="T96" s="298">
        <f t="shared" si="18"/>
        <v>136.26</v>
      </c>
      <c r="U96" s="47">
        <v>10</v>
      </c>
      <c r="V96" s="289">
        <f t="shared" si="19"/>
        <v>45.42</v>
      </c>
      <c r="W96" s="43">
        <v>10</v>
      </c>
      <c r="X96" s="281">
        <f t="shared" si="20"/>
        <v>45.42</v>
      </c>
      <c r="Y96" s="37">
        <v>15</v>
      </c>
      <c r="Z96" s="271">
        <f t="shared" si="21"/>
        <v>68.13</v>
      </c>
    </row>
    <row r="97" spans="1:26" ht="24" x14ac:dyDescent="0.25">
      <c r="A97" s="142" t="s">
        <v>1270</v>
      </c>
      <c r="B97" s="55"/>
      <c r="C97" s="131" t="s">
        <v>33</v>
      </c>
      <c r="D97" s="134" t="s">
        <v>174</v>
      </c>
      <c r="E97" s="153">
        <f t="shared" si="13"/>
        <v>90</v>
      </c>
      <c r="F97" s="348">
        <f t="shared" si="16"/>
        <v>2.8200000000000003</v>
      </c>
      <c r="G97" s="343">
        <f t="shared" si="14"/>
        <v>253.80000000000004</v>
      </c>
      <c r="H97" s="152" t="s">
        <v>1110</v>
      </c>
      <c r="I97" s="321">
        <v>2.0499999999999998</v>
      </c>
      <c r="J97" s="322"/>
      <c r="K97" s="322">
        <v>2.17</v>
      </c>
      <c r="L97" s="315">
        <v>3.59</v>
      </c>
      <c r="M97" s="315"/>
      <c r="N97" s="315"/>
      <c r="O97" s="315"/>
      <c r="P97" s="315">
        <v>2.7</v>
      </c>
      <c r="Q97" s="155">
        <v>5</v>
      </c>
      <c r="R97" s="303">
        <f t="shared" si="15"/>
        <v>14.100000000000001</v>
      </c>
      <c r="S97" s="25">
        <v>30</v>
      </c>
      <c r="T97" s="298">
        <f t="shared" si="18"/>
        <v>84.600000000000009</v>
      </c>
      <c r="U97" s="47">
        <v>15</v>
      </c>
      <c r="V97" s="289">
        <f t="shared" si="19"/>
        <v>42.300000000000004</v>
      </c>
      <c r="W97" s="43">
        <v>20</v>
      </c>
      <c r="X97" s="281">
        <f t="shared" si="20"/>
        <v>56.400000000000006</v>
      </c>
      <c r="Y97" s="37">
        <v>20</v>
      </c>
      <c r="Z97" s="271">
        <f t="shared" si="21"/>
        <v>56.400000000000006</v>
      </c>
    </row>
    <row r="98" spans="1:26" ht="30" x14ac:dyDescent="0.25">
      <c r="A98" s="142" t="s">
        <v>1271</v>
      </c>
      <c r="B98">
        <v>38064</v>
      </c>
      <c r="C98" s="121" t="s">
        <v>347</v>
      </c>
      <c r="D98" s="149" t="s">
        <v>229</v>
      </c>
      <c r="E98" s="153">
        <f t="shared" si="13"/>
        <v>0</v>
      </c>
      <c r="F98" s="348">
        <f t="shared" si="16"/>
        <v>19.39</v>
      </c>
      <c r="G98" s="343">
        <f t="shared" si="14"/>
        <v>0</v>
      </c>
      <c r="H98" s="6" t="s">
        <v>175</v>
      </c>
      <c r="I98" s="318"/>
      <c r="J98" s="318">
        <v>19.39</v>
      </c>
      <c r="K98" s="318"/>
      <c r="L98" s="318"/>
      <c r="M98" s="318"/>
      <c r="N98" s="318"/>
      <c r="O98" s="318"/>
      <c r="P98" s="318"/>
      <c r="Q98" s="156"/>
      <c r="R98" s="303">
        <f t="shared" si="15"/>
        <v>0</v>
      </c>
      <c r="S98" s="173"/>
      <c r="T98" s="298">
        <f t="shared" si="18"/>
        <v>0</v>
      </c>
      <c r="U98" s="158"/>
      <c r="V98" s="289">
        <f t="shared" si="19"/>
        <v>0</v>
      </c>
      <c r="W98" s="159"/>
      <c r="X98" s="281">
        <f t="shared" si="20"/>
        <v>0</v>
      </c>
      <c r="Y98" s="161"/>
      <c r="Z98" s="271">
        <f t="shared" si="21"/>
        <v>0</v>
      </c>
    </row>
    <row r="99" spans="1:26" ht="30" x14ac:dyDescent="0.25">
      <c r="A99" s="142" t="s">
        <v>1272</v>
      </c>
      <c r="B99">
        <v>38114</v>
      </c>
      <c r="C99" s="121" t="s">
        <v>346</v>
      </c>
      <c r="D99" s="149" t="s">
        <v>229</v>
      </c>
      <c r="E99" s="153">
        <f t="shared" si="13"/>
        <v>0</v>
      </c>
      <c r="F99" s="348">
        <f t="shared" si="16"/>
        <v>17.34</v>
      </c>
      <c r="G99" s="343">
        <f t="shared" si="14"/>
        <v>0</v>
      </c>
      <c r="H99" s="6" t="s">
        <v>175</v>
      </c>
      <c r="I99" s="318"/>
      <c r="J99" s="318">
        <v>17.34</v>
      </c>
      <c r="K99" s="318"/>
      <c r="L99" s="318"/>
      <c r="M99" s="318"/>
      <c r="N99" s="318"/>
      <c r="O99" s="318"/>
      <c r="P99" s="318"/>
      <c r="Q99" s="156"/>
      <c r="R99" s="303">
        <f t="shared" si="15"/>
        <v>0</v>
      </c>
      <c r="S99" s="173"/>
      <c r="T99" s="298">
        <f t="shared" si="18"/>
        <v>0</v>
      </c>
      <c r="U99" s="158"/>
      <c r="V99" s="289">
        <f t="shared" si="19"/>
        <v>0</v>
      </c>
      <c r="W99" s="159"/>
      <c r="X99" s="281">
        <f t="shared" si="20"/>
        <v>0</v>
      </c>
      <c r="Y99" s="161"/>
      <c r="Z99" s="271">
        <f t="shared" si="21"/>
        <v>0</v>
      </c>
    </row>
    <row r="100" spans="1:26" ht="45" x14ac:dyDescent="0.25">
      <c r="A100" s="142" t="s">
        <v>1273</v>
      </c>
      <c r="B100">
        <v>38078</v>
      </c>
      <c r="C100" s="121" t="s">
        <v>320</v>
      </c>
      <c r="D100" s="149" t="s">
        <v>229</v>
      </c>
      <c r="E100" s="153">
        <f t="shared" si="13"/>
        <v>0</v>
      </c>
      <c r="F100" s="348">
        <f t="shared" si="16"/>
        <v>16.05</v>
      </c>
      <c r="G100" s="343">
        <f t="shared" si="14"/>
        <v>0</v>
      </c>
      <c r="H100" s="6" t="s">
        <v>175</v>
      </c>
      <c r="I100" s="318"/>
      <c r="J100" s="318">
        <v>16.05</v>
      </c>
      <c r="K100" s="318"/>
      <c r="L100" s="318"/>
      <c r="M100" s="318"/>
      <c r="N100" s="318"/>
      <c r="O100" s="318"/>
      <c r="P100" s="318"/>
      <c r="Q100" s="156"/>
      <c r="R100" s="303">
        <f t="shared" si="15"/>
        <v>0</v>
      </c>
      <c r="S100" s="173"/>
      <c r="T100" s="298">
        <f t="shared" si="18"/>
        <v>0</v>
      </c>
      <c r="U100" s="158"/>
      <c r="V100" s="289">
        <f t="shared" si="19"/>
        <v>0</v>
      </c>
      <c r="W100" s="159"/>
      <c r="X100" s="281">
        <f t="shared" si="20"/>
        <v>0</v>
      </c>
      <c r="Y100" s="161"/>
      <c r="Z100" s="271">
        <f t="shared" si="21"/>
        <v>0</v>
      </c>
    </row>
    <row r="101" spans="1:26" x14ac:dyDescent="0.25">
      <c r="A101" s="142" t="s">
        <v>1274</v>
      </c>
      <c r="B101">
        <v>38113</v>
      </c>
      <c r="C101" s="121" t="s">
        <v>348</v>
      </c>
      <c r="D101" s="149" t="s">
        <v>229</v>
      </c>
      <c r="E101" s="153">
        <f t="shared" si="13"/>
        <v>0</v>
      </c>
      <c r="F101" s="348">
        <f t="shared" si="16"/>
        <v>8.7200000000000006</v>
      </c>
      <c r="G101" s="343">
        <f t="shared" si="14"/>
        <v>0</v>
      </c>
      <c r="H101" s="6" t="s">
        <v>175</v>
      </c>
      <c r="I101" s="318"/>
      <c r="J101" s="318">
        <v>8.7200000000000006</v>
      </c>
      <c r="K101" s="318"/>
      <c r="L101" s="318"/>
      <c r="M101" s="318"/>
      <c r="N101" s="318"/>
      <c r="O101" s="318"/>
      <c r="P101" s="318"/>
      <c r="Q101" s="156"/>
      <c r="R101" s="303">
        <f t="shared" si="15"/>
        <v>0</v>
      </c>
      <c r="S101" s="173"/>
      <c r="T101" s="298">
        <f t="shared" si="18"/>
        <v>0</v>
      </c>
      <c r="U101" s="158"/>
      <c r="V101" s="289">
        <f t="shared" si="19"/>
        <v>0</v>
      </c>
      <c r="W101" s="159"/>
      <c r="X101" s="281">
        <f t="shared" si="20"/>
        <v>0</v>
      </c>
      <c r="Y101" s="161"/>
      <c r="Z101" s="271">
        <f t="shared" si="21"/>
        <v>0</v>
      </c>
    </row>
    <row r="102" spans="1:26" ht="45" x14ac:dyDescent="0.25">
      <c r="A102" s="142" t="s">
        <v>1275</v>
      </c>
      <c r="B102">
        <v>38073</v>
      </c>
      <c r="C102" s="121" t="s">
        <v>350</v>
      </c>
      <c r="D102" s="149" t="s">
        <v>229</v>
      </c>
      <c r="E102" s="153">
        <f t="shared" si="13"/>
        <v>0</v>
      </c>
      <c r="F102" s="348">
        <f t="shared" si="16"/>
        <v>22.69</v>
      </c>
      <c r="G102" s="343">
        <f t="shared" si="14"/>
        <v>0</v>
      </c>
      <c r="H102" s="6" t="s">
        <v>175</v>
      </c>
      <c r="I102" s="318"/>
      <c r="J102" s="318">
        <v>22.69</v>
      </c>
      <c r="K102" s="318"/>
      <c r="L102" s="318"/>
      <c r="M102" s="318"/>
      <c r="N102" s="318"/>
      <c r="O102" s="318"/>
      <c r="P102" s="318"/>
      <c r="Q102" s="156"/>
      <c r="R102" s="303">
        <f t="shared" si="15"/>
        <v>0</v>
      </c>
      <c r="S102" s="173"/>
      <c r="T102" s="298">
        <f t="shared" si="18"/>
        <v>0</v>
      </c>
      <c r="U102" s="158"/>
      <c r="V102" s="289">
        <f t="shared" si="19"/>
        <v>0</v>
      </c>
      <c r="W102" s="159"/>
      <c r="X102" s="281">
        <f t="shared" si="20"/>
        <v>0</v>
      </c>
      <c r="Y102" s="161"/>
      <c r="Z102" s="271">
        <f t="shared" si="21"/>
        <v>0</v>
      </c>
    </row>
    <row r="103" spans="1:26" ht="45" x14ac:dyDescent="0.25">
      <c r="A103" s="142" t="s">
        <v>1276</v>
      </c>
      <c r="B103">
        <v>38080</v>
      </c>
      <c r="C103" s="121" t="s">
        <v>321</v>
      </c>
      <c r="D103" s="149" t="s">
        <v>229</v>
      </c>
      <c r="E103" s="153">
        <f t="shared" si="13"/>
        <v>0</v>
      </c>
      <c r="F103" s="348">
        <f t="shared" si="16"/>
        <v>27.87</v>
      </c>
      <c r="G103" s="343">
        <f t="shared" si="14"/>
        <v>0</v>
      </c>
      <c r="H103" s="6" t="s">
        <v>175</v>
      </c>
      <c r="I103" s="318"/>
      <c r="J103" s="318">
        <v>27.87</v>
      </c>
      <c r="K103" s="318"/>
      <c r="L103" s="318"/>
      <c r="M103" s="318"/>
      <c r="N103" s="318"/>
      <c r="O103" s="318"/>
      <c r="P103" s="318"/>
      <c r="Q103" s="156"/>
      <c r="R103" s="303">
        <f t="shared" si="15"/>
        <v>0</v>
      </c>
      <c r="S103" s="173"/>
      <c r="T103" s="298">
        <f t="shared" si="18"/>
        <v>0</v>
      </c>
      <c r="U103" s="158"/>
      <c r="V103" s="289">
        <f t="shared" si="19"/>
        <v>0</v>
      </c>
      <c r="W103" s="159"/>
      <c r="X103" s="281">
        <f t="shared" si="20"/>
        <v>0</v>
      </c>
      <c r="Y103" s="161"/>
      <c r="Z103" s="271">
        <f t="shared" si="21"/>
        <v>0</v>
      </c>
    </row>
    <row r="104" spans="1:26" ht="45" x14ac:dyDescent="0.25">
      <c r="A104" s="142" t="s">
        <v>1277</v>
      </c>
      <c r="B104">
        <v>38069</v>
      </c>
      <c r="C104" s="121" t="s">
        <v>349</v>
      </c>
      <c r="D104" s="149" t="s">
        <v>229</v>
      </c>
      <c r="E104" s="153">
        <f t="shared" si="13"/>
        <v>110</v>
      </c>
      <c r="F104" s="348">
        <f t="shared" si="16"/>
        <v>19.270000000000003</v>
      </c>
      <c r="G104" s="343">
        <f t="shared" si="14"/>
        <v>2119.7000000000003</v>
      </c>
      <c r="H104" s="6" t="s">
        <v>1100</v>
      </c>
      <c r="I104" s="321">
        <v>21.68</v>
      </c>
      <c r="J104" s="322">
        <v>17.350000000000001</v>
      </c>
      <c r="K104" s="322">
        <v>26</v>
      </c>
      <c r="L104" s="315">
        <v>21.9</v>
      </c>
      <c r="M104" s="315"/>
      <c r="N104" s="315"/>
      <c r="O104" s="315">
        <v>18.899999999999999</v>
      </c>
      <c r="P104" s="315">
        <v>12.2</v>
      </c>
      <c r="Q104" s="155">
        <v>5</v>
      </c>
      <c r="R104" s="303">
        <f t="shared" si="15"/>
        <v>96.350000000000023</v>
      </c>
      <c r="S104" s="25">
        <v>50</v>
      </c>
      <c r="T104" s="298">
        <f t="shared" si="18"/>
        <v>963.50000000000011</v>
      </c>
      <c r="U104" s="47">
        <v>10</v>
      </c>
      <c r="V104" s="289">
        <f t="shared" si="19"/>
        <v>192.70000000000005</v>
      </c>
      <c r="W104" s="43">
        <v>20</v>
      </c>
      <c r="X104" s="281">
        <f t="shared" si="20"/>
        <v>385.40000000000009</v>
      </c>
      <c r="Y104" s="37">
        <v>25</v>
      </c>
      <c r="Z104" s="271">
        <f t="shared" si="21"/>
        <v>481.75000000000006</v>
      </c>
    </row>
    <row r="105" spans="1:26" ht="45" x14ac:dyDescent="0.25">
      <c r="A105" s="142" t="s">
        <v>1278</v>
      </c>
      <c r="B105">
        <v>38077</v>
      </c>
      <c r="C105" s="121" t="s">
        <v>322</v>
      </c>
      <c r="D105" s="149" t="s">
        <v>229</v>
      </c>
      <c r="E105" s="153">
        <f t="shared" si="13"/>
        <v>0</v>
      </c>
      <c r="F105" s="348">
        <f t="shared" si="16"/>
        <v>14.89</v>
      </c>
      <c r="G105" s="343">
        <f t="shared" si="14"/>
        <v>0</v>
      </c>
      <c r="H105" s="6" t="s">
        <v>175</v>
      </c>
      <c r="I105" s="318"/>
      <c r="J105" s="318">
        <v>14.89</v>
      </c>
      <c r="K105" s="318"/>
      <c r="L105" s="318"/>
      <c r="M105" s="318"/>
      <c r="N105" s="318"/>
      <c r="O105" s="318"/>
      <c r="P105" s="318"/>
      <c r="Q105" s="156"/>
      <c r="R105" s="303">
        <f t="shared" si="15"/>
        <v>0</v>
      </c>
      <c r="S105" s="173"/>
      <c r="T105" s="298">
        <f t="shared" si="18"/>
        <v>0</v>
      </c>
      <c r="U105" s="158"/>
      <c r="V105" s="289">
        <f t="shared" si="19"/>
        <v>0</v>
      </c>
      <c r="W105" s="159"/>
      <c r="X105" s="281">
        <f t="shared" si="20"/>
        <v>0</v>
      </c>
      <c r="Y105" s="161"/>
      <c r="Z105" s="271">
        <f t="shared" si="21"/>
        <v>0</v>
      </c>
    </row>
    <row r="106" spans="1:26" x14ac:dyDescent="0.25">
      <c r="A106" s="142" t="s">
        <v>1279</v>
      </c>
      <c r="B106">
        <v>38112</v>
      </c>
      <c r="C106" s="121" t="s">
        <v>351</v>
      </c>
      <c r="D106" s="149" t="s">
        <v>229</v>
      </c>
      <c r="E106" s="153">
        <f t="shared" si="13"/>
        <v>0</v>
      </c>
      <c r="F106" s="348">
        <f t="shared" si="16"/>
        <v>0</v>
      </c>
      <c r="G106" s="343">
        <f t="shared" si="14"/>
        <v>0</v>
      </c>
      <c r="H106" s="6" t="s">
        <v>175</v>
      </c>
      <c r="I106" s="318"/>
      <c r="J106" s="318"/>
      <c r="K106" s="318"/>
      <c r="L106" s="318"/>
      <c r="M106" s="318"/>
      <c r="N106" s="318"/>
      <c r="O106" s="318"/>
      <c r="P106" s="318"/>
      <c r="Q106" s="156"/>
      <c r="R106" s="303">
        <f t="shared" si="15"/>
        <v>0</v>
      </c>
      <c r="S106" s="173"/>
      <c r="T106" s="298">
        <f t="shared" si="18"/>
        <v>0</v>
      </c>
      <c r="U106" s="158"/>
      <c r="V106" s="289">
        <f t="shared" si="19"/>
        <v>0</v>
      </c>
      <c r="W106" s="159"/>
      <c r="X106" s="281">
        <f t="shared" si="20"/>
        <v>0</v>
      </c>
      <c r="Y106" s="161"/>
      <c r="Z106" s="271">
        <f t="shared" si="21"/>
        <v>0</v>
      </c>
    </row>
    <row r="107" spans="1:26" ht="30" x14ac:dyDescent="0.25">
      <c r="A107" s="142" t="s">
        <v>1280</v>
      </c>
      <c r="B107">
        <v>38062</v>
      </c>
      <c r="C107" s="121" t="s">
        <v>352</v>
      </c>
      <c r="D107" s="149" t="s">
        <v>229</v>
      </c>
      <c r="E107" s="153">
        <f t="shared" si="13"/>
        <v>60</v>
      </c>
      <c r="F107" s="348">
        <f t="shared" si="16"/>
        <v>6.87</v>
      </c>
      <c r="G107" s="343">
        <f t="shared" si="14"/>
        <v>412.2</v>
      </c>
      <c r="H107" s="6" t="s">
        <v>175</v>
      </c>
      <c r="I107" s="321">
        <v>9.69</v>
      </c>
      <c r="J107" s="318">
        <v>6.87</v>
      </c>
      <c r="K107" s="322">
        <v>10</v>
      </c>
      <c r="L107" s="318"/>
      <c r="M107" s="318"/>
      <c r="N107" s="318"/>
      <c r="O107" s="318"/>
      <c r="P107" s="318"/>
      <c r="Q107" s="155">
        <v>5</v>
      </c>
      <c r="R107" s="303">
        <f t="shared" si="15"/>
        <v>34.35</v>
      </c>
      <c r="S107" s="25">
        <v>10</v>
      </c>
      <c r="T107" s="298">
        <f t="shared" si="18"/>
        <v>68.7</v>
      </c>
      <c r="U107" s="47">
        <v>10</v>
      </c>
      <c r="V107" s="289">
        <f t="shared" si="19"/>
        <v>68.7</v>
      </c>
      <c r="W107" s="43">
        <v>20</v>
      </c>
      <c r="X107" s="281">
        <f t="shared" si="20"/>
        <v>137.4</v>
      </c>
      <c r="Y107" s="37">
        <v>15</v>
      </c>
      <c r="Z107" s="271">
        <f t="shared" si="21"/>
        <v>103.05</v>
      </c>
    </row>
    <row r="108" spans="1:26" ht="30" x14ac:dyDescent="0.25">
      <c r="A108" s="142" t="s">
        <v>1281</v>
      </c>
      <c r="B108">
        <v>12129</v>
      </c>
      <c r="C108" s="121" t="s">
        <v>354</v>
      </c>
      <c r="D108" s="149" t="s">
        <v>229</v>
      </c>
      <c r="E108" s="153">
        <f t="shared" si="13"/>
        <v>0</v>
      </c>
      <c r="F108" s="348">
        <f t="shared" si="16"/>
        <v>12.14</v>
      </c>
      <c r="G108" s="343">
        <f t="shared" si="14"/>
        <v>0</v>
      </c>
      <c r="H108" s="6" t="s">
        <v>175</v>
      </c>
      <c r="I108" s="318"/>
      <c r="J108" s="318">
        <v>12.14</v>
      </c>
      <c r="K108" s="318"/>
      <c r="L108" s="318"/>
      <c r="M108" s="318"/>
      <c r="N108" s="318"/>
      <c r="O108" s="318"/>
      <c r="P108" s="318"/>
      <c r="Q108" s="156"/>
      <c r="R108" s="303">
        <f t="shared" si="15"/>
        <v>0</v>
      </c>
      <c r="S108" s="173"/>
      <c r="T108" s="298">
        <f t="shared" si="18"/>
        <v>0</v>
      </c>
      <c r="U108" s="158"/>
      <c r="V108" s="289">
        <f t="shared" si="19"/>
        <v>0</v>
      </c>
      <c r="W108" s="159"/>
      <c r="X108" s="281">
        <f t="shared" si="20"/>
        <v>0</v>
      </c>
      <c r="Y108" s="161"/>
      <c r="Z108" s="271">
        <f t="shared" si="21"/>
        <v>0</v>
      </c>
    </row>
    <row r="109" spans="1:26" ht="30" x14ac:dyDescent="0.25">
      <c r="A109" s="142" t="s">
        <v>1282</v>
      </c>
      <c r="B109">
        <v>12128</v>
      </c>
      <c r="C109" s="121" t="s">
        <v>353</v>
      </c>
      <c r="D109" s="149" t="s">
        <v>229</v>
      </c>
      <c r="E109" s="153">
        <f t="shared" si="13"/>
        <v>60</v>
      </c>
      <c r="F109" s="348">
        <f t="shared" si="16"/>
        <v>9.18</v>
      </c>
      <c r="G109" s="343">
        <f t="shared" si="14"/>
        <v>550.79999999999995</v>
      </c>
      <c r="H109" s="6" t="s">
        <v>175</v>
      </c>
      <c r="I109" s="321"/>
      <c r="J109" s="322">
        <v>9.18</v>
      </c>
      <c r="K109" s="322">
        <v>7.77</v>
      </c>
      <c r="L109" s="315">
        <v>8.99</v>
      </c>
      <c r="M109" s="315"/>
      <c r="N109" s="315"/>
      <c r="O109" s="315">
        <v>7.5</v>
      </c>
      <c r="P109" s="315">
        <v>5.2</v>
      </c>
      <c r="Q109" s="155">
        <v>5</v>
      </c>
      <c r="R109" s="303">
        <f t="shared" si="15"/>
        <v>45.9</v>
      </c>
      <c r="S109" s="25">
        <v>10</v>
      </c>
      <c r="T109" s="298">
        <f t="shared" si="18"/>
        <v>91.8</v>
      </c>
      <c r="U109" s="47">
        <v>10</v>
      </c>
      <c r="V109" s="289">
        <f t="shared" si="19"/>
        <v>91.8</v>
      </c>
      <c r="W109" s="43">
        <v>20</v>
      </c>
      <c r="X109" s="281">
        <f t="shared" si="20"/>
        <v>183.6</v>
      </c>
      <c r="Y109" s="37">
        <v>15</v>
      </c>
      <c r="Z109" s="271">
        <f t="shared" si="21"/>
        <v>137.69999999999999</v>
      </c>
    </row>
    <row r="110" spans="1:26" ht="45" x14ac:dyDescent="0.25">
      <c r="A110" s="142" t="s">
        <v>1283</v>
      </c>
      <c r="B110">
        <v>38081</v>
      </c>
      <c r="C110" s="121" t="s">
        <v>323</v>
      </c>
      <c r="D110" s="149" t="s">
        <v>229</v>
      </c>
      <c r="E110" s="153">
        <f t="shared" si="13"/>
        <v>0</v>
      </c>
      <c r="F110" s="348">
        <f t="shared" si="16"/>
        <v>23.64</v>
      </c>
      <c r="G110" s="343">
        <f t="shared" si="14"/>
        <v>0</v>
      </c>
      <c r="H110" s="6" t="s">
        <v>175</v>
      </c>
      <c r="I110" s="318"/>
      <c r="J110" s="318">
        <v>23.64</v>
      </c>
      <c r="K110" s="318"/>
      <c r="L110" s="318"/>
      <c r="M110" s="318"/>
      <c r="N110" s="318"/>
      <c r="O110" s="318"/>
      <c r="P110" s="318"/>
      <c r="Q110" s="156"/>
      <c r="R110" s="303">
        <f t="shared" si="15"/>
        <v>0</v>
      </c>
      <c r="S110" s="173"/>
      <c r="T110" s="298">
        <f t="shared" si="18"/>
        <v>0</v>
      </c>
      <c r="U110" s="158"/>
      <c r="V110" s="289">
        <f t="shared" si="19"/>
        <v>0</v>
      </c>
      <c r="W110" s="159"/>
      <c r="X110" s="281">
        <f t="shared" si="20"/>
        <v>0</v>
      </c>
      <c r="Y110" s="161"/>
      <c r="Z110" s="271">
        <f t="shared" si="21"/>
        <v>0</v>
      </c>
    </row>
    <row r="111" spans="1:26" ht="45" x14ac:dyDescent="0.25">
      <c r="A111" s="142" t="s">
        <v>1284</v>
      </c>
      <c r="B111">
        <v>38070</v>
      </c>
      <c r="C111" s="121" t="s">
        <v>355</v>
      </c>
      <c r="D111" s="149" t="s">
        <v>229</v>
      </c>
      <c r="E111" s="153">
        <f t="shared" si="13"/>
        <v>0</v>
      </c>
      <c r="F111" s="348">
        <f t="shared" si="16"/>
        <v>17.29</v>
      </c>
      <c r="G111" s="343">
        <f t="shared" si="14"/>
        <v>0</v>
      </c>
      <c r="H111" s="6" t="s">
        <v>175</v>
      </c>
      <c r="I111" s="318"/>
      <c r="J111" s="318">
        <v>17.29</v>
      </c>
      <c r="K111" s="318"/>
      <c r="L111" s="318"/>
      <c r="M111" s="318"/>
      <c r="N111" s="318"/>
      <c r="O111" s="318"/>
      <c r="P111" s="318"/>
      <c r="Q111" s="156"/>
      <c r="R111" s="303">
        <f t="shared" si="15"/>
        <v>0</v>
      </c>
      <c r="S111" s="173"/>
      <c r="T111" s="298">
        <f t="shared" si="18"/>
        <v>0</v>
      </c>
      <c r="U111" s="158"/>
      <c r="V111" s="289">
        <f t="shared" si="19"/>
        <v>0</v>
      </c>
      <c r="W111" s="159"/>
      <c r="X111" s="281">
        <f t="shared" si="20"/>
        <v>0</v>
      </c>
      <c r="Y111" s="161"/>
      <c r="Z111" s="271">
        <f t="shared" si="21"/>
        <v>0</v>
      </c>
    </row>
    <row r="112" spans="1:26" ht="45" x14ac:dyDescent="0.25">
      <c r="A112" s="142" t="s">
        <v>1285</v>
      </c>
      <c r="B112">
        <v>38074</v>
      </c>
      <c r="C112" s="121" t="s">
        <v>356</v>
      </c>
      <c r="D112" s="149" t="s">
        <v>229</v>
      </c>
      <c r="E112" s="153">
        <f t="shared" si="13"/>
        <v>0</v>
      </c>
      <c r="F112" s="348">
        <f t="shared" si="16"/>
        <v>24.77</v>
      </c>
      <c r="G112" s="343">
        <f t="shared" si="14"/>
        <v>0</v>
      </c>
      <c r="H112" s="6" t="s">
        <v>175</v>
      </c>
      <c r="I112" s="318"/>
      <c r="J112" s="318">
        <v>24.77</v>
      </c>
      <c r="K112" s="318"/>
      <c r="L112" s="318"/>
      <c r="M112" s="318"/>
      <c r="N112" s="318"/>
      <c r="O112" s="318"/>
      <c r="P112" s="318"/>
      <c r="Q112" s="156"/>
      <c r="R112" s="303">
        <f t="shared" si="15"/>
        <v>0</v>
      </c>
      <c r="S112" s="173"/>
      <c r="T112" s="298">
        <f t="shared" si="18"/>
        <v>0</v>
      </c>
      <c r="U112" s="158"/>
      <c r="V112" s="289">
        <f t="shared" si="19"/>
        <v>0</v>
      </c>
      <c r="W112" s="159"/>
      <c r="X112" s="281">
        <f t="shared" si="20"/>
        <v>0</v>
      </c>
      <c r="Y112" s="161"/>
      <c r="Z112" s="271">
        <f t="shared" si="21"/>
        <v>0</v>
      </c>
    </row>
    <row r="113" spans="1:26" ht="45" x14ac:dyDescent="0.25">
      <c r="A113" s="142" t="s">
        <v>1286</v>
      </c>
      <c r="B113">
        <v>38072</v>
      </c>
      <c r="C113" s="121" t="s">
        <v>357</v>
      </c>
      <c r="D113" s="149" t="s">
        <v>229</v>
      </c>
      <c r="E113" s="153">
        <f t="shared" si="13"/>
        <v>0</v>
      </c>
      <c r="F113" s="348">
        <f t="shared" si="16"/>
        <v>20.43</v>
      </c>
      <c r="G113" s="343">
        <f t="shared" si="14"/>
        <v>0</v>
      </c>
      <c r="H113" s="6" t="s">
        <v>175</v>
      </c>
      <c r="I113" s="318"/>
      <c r="J113" s="318">
        <v>20.43</v>
      </c>
      <c r="K113" s="318"/>
      <c r="L113" s="318"/>
      <c r="M113" s="318"/>
      <c r="N113" s="318"/>
      <c r="O113" s="318"/>
      <c r="P113" s="318"/>
      <c r="Q113" s="156"/>
      <c r="R113" s="303">
        <f t="shared" si="15"/>
        <v>0</v>
      </c>
      <c r="S113" s="173"/>
      <c r="T113" s="298">
        <f t="shared" si="18"/>
        <v>0</v>
      </c>
      <c r="U113" s="158"/>
      <c r="V113" s="289">
        <f t="shared" si="19"/>
        <v>0</v>
      </c>
      <c r="W113" s="159"/>
      <c r="X113" s="281">
        <f t="shared" si="20"/>
        <v>0</v>
      </c>
      <c r="Y113" s="161"/>
      <c r="Z113" s="271">
        <f t="shared" si="21"/>
        <v>0</v>
      </c>
    </row>
    <row r="114" spans="1:26" ht="45" x14ac:dyDescent="0.25">
      <c r="A114" s="142" t="s">
        <v>1287</v>
      </c>
      <c r="B114">
        <v>38079</v>
      </c>
      <c r="C114" s="121" t="s">
        <v>324</v>
      </c>
      <c r="D114" s="149" t="s">
        <v>229</v>
      </c>
      <c r="E114" s="153">
        <f t="shared" si="13"/>
        <v>0</v>
      </c>
      <c r="F114" s="348">
        <f t="shared" si="16"/>
        <v>21.26</v>
      </c>
      <c r="G114" s="343">
        <f t="shared" si="14"/>
        <v>0</v>
      </c>
      <c r="H114" s="6" t="s">
        <v>175</v>
      </c>
      <c r="I114" s="318"/>
      <c r="J114" s="318">
        <v>21.26</v>
      </c>
      <c r="K114" s="318"/>
      <c r="L114" s="318"/>
      <c r="M114" s="318"/>
      <c r="N114" s="318"/>
      <c r="O114" s="318"/>
      <c r="P114" s="318"/>
      <c r="Q114" s="156"/>
      <c r="R114" s="303">
        <f t="shared" si="15"/>
        <v>0</v>
      </c>
      <c r="S114" s="173"/>
      <c r="T114" s="298">
        <f t="shared" si="18"/>
        <v>0</v>
      </c>
      <c r="U114" s="158"/>
      <c r="V114" s="289">
        <f t="shared" si="19"/>
        <v>0</v>
      </c>
      <c r="W114" s="159"/>
      <c r="X114" s="281">
        <f t="shared" si="20"/>
        <v>0</v>
      </c>
      <c r="Y114" s="161"/>
      <c r="Z114" s="271">
        <f t="shared" si="21"/>
        <v>0</v>
      </c>
    </row>
    <row r="115" spans="1:26" ht="45" x14ac:dyDescent="0.25">
      <c r="A115" s="142" t="s">
        <v>1288</v>
      </c>
      <c r="B115">
        <v>38068</v>
      </c>
      <c r="C115" s="121" t="s">
        <v>358</v>
      </c>
      <c r="D115" s="149" t="s">
        <v>229</v>
      </c>
      <c r="E115" s="153">
        <f t="shared" si="13"/>
        <v>0</v>
      </c>
      <c r="F115" s="348">
        <f t="shared" si="16"/>
        <v>14.1</v>
      </c>
      <c r="G115" s="343">
        <f t="shared" si="14"/>
        <v>0</v>
      </c>
      <c r="H115" s="6" t="s">
        <v>175</v>
      </c>
      <c r="I115" s="318"/>
      <c r="J115" s="318">
        <v>14.1</v>
      </c>
      <c r="K115" s="318"/>
      <c r="L115" s="318"/>
      <c r="M115" s="318"/>
      <c r="N115" s="318"/>
      <c r="O115" s="318"/>
      <c r="P115" s="318"/>
      <c r="Q115" s="156"/>
      <c r="R115" s="303">
        <f t="shared" si="15"/>
        <v>0</v>
      </c>
      <c r="S115" s="173"/>
      <c r="T115" s="298">
        <f t="shared" si="18"/>
        <v>0</v>
      </c>
      <c r="U115" s="158"/>
      <c r="V115" s="289">
        <f t="shared" si="19"/>
        <v>0</v>
      </c>
      <c r="W115" s="159"/>
      <c r="X115" s="281">
        <f t="shared" si="20"/>
        <v>0</v>
      </c>
      <c r="Y115" s="161"/>
      <c r="Z115" s="271">
        <f t="shared" si="21"/>
        <v>0</v>
      </c>
    </row>
    <row r="116" spans="1:26" ht="45" x14ac:dyDescent="0.25">
      <c r="A116" s="142" t="s">
        <v>1289</v>
      </c>
      <c r="B116">
        <v>38071</v>
      </c>
      <c r="C116" s="121" t="s">
        <v>359</v>
      </c>
      <c r="D116" s="149" t="s">
        <v>229</v>
      </c>
      <c r="E116" s="153">
        <f t="shared" si="13"/>
        <v>0</v>
      </c>
      <c r="F116" s="348">
        <f t="shared" si="16"/>
        <v>16.86</v>
      </c>
      <c r="G116" s="343">
        <f t="shared" si="14"/>
        <v>0</v>
      </c>
      <c r="H116" s="6" t="s">
        <v>175</v>
      </c>
      <c r="I116" s="318"/>
      <c r="J116" s="318">
        <v>16.86</v>
      </c>
      <c r="K116" s="318"/>
      <c r="L116" s="318"/>
      <c r="M116" s="318"/>
      <c r="N116" s="318"/>
      <c r="O116" s="318"/>
      <c r="P116" s="318"/>
      <c r="Q116" s="156"/>
      <c r="R116" s="303">
        <f t="shared" si="15"/>
        <v>0</v>
      </c>
      <c r="S116" s="173"/>
      <c r="T116" s="298">
        <f t="shared" si="18"/>
        <v>0</v>
      </c>
      <c r="U116" s="158"/>
      <c r="V116" s="289">
        <f t="shared" si="19"/>
        <v>0</v>
      </c>
      <c r="W116" s="159"/>
      <c r="X116" s="281">
        <f t="shared" si="20"/>
        <v>0</v>
      </c>
      <c r="Y116" s="161"/>
      <c r="Z116" s="271">
        <f t="shared" si="21"/>
        <v>0</v>
      </c>
    </row>
    <row r="117" spans="1:26" x14ac:dyDescent="0.25">
      <c r="A117" s="142" t="s">
        <v>1290</v>
      </c>
      <c r="B117" s="55"/>
      <c r="C117" s="128" t="s">
        <v>34</v>
      </c>
      <c r="D117" s="134" t="s">
        <v>1</v>
      </c>
      <c r="E117" s="153">
        <f t="shared" si="13"/>
        <v>70</v>
      </c>
      <c r="F117" s="348">
        <f t="shared" si="16"/>
        <v>0.80787500000000001</v>
      </c>
      <c r="G117" s="343">
        <f t="shared" si="14"/>
        <v>56.551249999999996</v>
      </c>
      <c r="H117" s="152" t="s">
        <v>1110</v>
      </c>
      <c r="I117" s="321">
        <v>0.65</v>
      </c>
      <c r="J117" s="322"/>
      <c r="K117" s="322">
        <v>0.8</v>
      </c>
      <c r="L117" s="315">
        <f>17.59/20</f>
        <v>0.87949999999999995</v>
      </c>
      <c r="M117" s="315">
        <f>10.92/10</f>
        <v>1.0920000000000001</v>
      </c>
      <c r="N117" s="315"/>
      <c r="O117" s="315"/>
      <c r="P117" s="315">
        <v>0.46</v>
      </c>
      <c r="Q117" s="155">
        <v>5</v>
      </c>
      <c r="R117" s="303">
        <f t="shared" si="15"/>
        <v>4.0393749999999997</v>
      </c>
      <c r="S117" s="25">
        <v>50</v>
      </c>
      <c r="T117" s="298">
        <f t="shared" si="18"/>
        <v>40.393749999999997</v>
      </c>
      <c r="U117" s="47">
        <v>0</v>
      </c>
      <c r="V117" s="289">
        <f t="shared" si="19"/>
        <v>0</v>
      </c>
      <c r="W117" s="43">
        <v>0</v>
      </c>
      <c r="X117" s="281">
        <f t="shared" si="20"/>
        <v>0</v>
      </c>
      <c r="Y117" s="37">
        <v>15</v>
      </c>
      <c r="Z117" s="271">
        <f t="shared" si="21"/>
        <v>12.118125000000001</v>
      </c>
    </row>
    <row r="118" spans="1:26" x14ac:dyDescent="0.25">
      <c r="A118" s="142" t="s">
        <v>1291</v>
      </c>
      <c r="B118" s="55"/>
      <c r="C118" s="128" t="s">
        <v>35</v>
      </c>
      <c r="D118" s="134" t="s">
        <v>1</v>
      </c>
      <c r="E118" s="153">
        <f t="shared" si="13"/>
        <v>165</v>
      </c>
      <c r="F118" s="348">
        <f t="shared" si="16"/>
        <v>80.98</v>
      </c>
      <c r="G118" s="343">
        <f t="shared" si="14"/>
        <v>13361.7</v>
      </c>
      <c r="H118" s="152" t="s">
        <v>1110</v>
      </c>
      <c r="I118" s="321">
        <v>95</v>
      </c>
      <c r="J118" s="322"/>
      <c r="K118" s="322"/>
      <c r="L118" s="315"/>
      <c r="M118" s="315"/>
      <c r="N118" s="315">
        <v>80.98</v>
      </c>
      <c r="O118" s="315"/>
      <c r="P118" s="315"/>
      <c r="Q118" s="155">
        <v>5</v>
      </c>
      <c r="R118" s="303">
        <f t="shared" si="15"/>
        <v>404.90000000000003</v>
      </c>
      <c r="S118" s="25">
        <v>50</v>
      </c>
      <c r="T118" s="298">
        <f t="shared" si="18"/>
        <v>4049</v>
      </c>
      <c r="U118" s="47">
        <v>70</v>
      </c>
      <c r="V118" s="289">
        <f t="shared" si="19"/>
        <v>5668.6</v>
      </c>
      <c r="W118" s="43">
        <v>20</v>
      </c>
      <c r="X118" s="281">
        <f t="shared" si="20"/>
        <v>1619.6000000000001</v>
      </c>
      <c r="Y118" s="37">
        <v>20</v>
      </c>
      <c r="Z118" s="271">
        <f t="shared" si="21"/>
        <v>1619.6000000000001</v>
      </c>
    </row>
    <row r="119" spans="1:26" ht="45" x14ac:dyDescent="0.25">
      <c r="A119" s="142" t="s">
        <v>1292</v>
      </c>
      <c r="B119">
        <v>12118</v>
      </c>
      <c r="C119" s="121" t="s">
        <v>283</v>
      </c>
      <c r="D119" s="149" t="s">
        <v>229</v>
      </c>
      <c r="E119" s="153">
        <f t="shared" si="13"/>
        <v>0</v>
      </c>
      <c r="F119" s="348">
        <f t="shared" si="16"/>
        <v>22.03</v>
      </c>
      <c r="G119" s="343">
        <f t="shared" si="14"/>
        <v>0</v>
      </c>
      <c r="H119" s="6" t="s">
        <v>175</v>
      </c>
      <c r="I119" s="318"/>
      <c r="J119" s="318">
        <v>22.03</v>
      </c>
      <c r="K119" s="318"/>
      <c r="L119" s="318"/>
      <c r="M119" s="318"/>
      <c r="N119" s="318"/>
      <c r="O119" s="318"/>
      <c r="P119" s="318"/>
      <c r="Q119" s="156"/>
      <c r="R119" s="303">
        <f t="shared" si="15"/>
        <v>0</v>
      </c>
      <c r="S119" s="173"/>
      <c r="T119" s="298">
        <f t="shared" si="18"/>
        <v>0</v>
      </c>
      <c r="U119" s="158"/>
      <c r="V119" s="289">
        <f t="shared" si="19"/>
        <v>0</v>
      </c>
      <c r="W119" s="159"/>
      <c r="X119" s="281">
        <f t="shared" si="20"/>
        <v>0</v>
      </c>
      <c r="Y119" s="161"/>
      <c r="Z119" s="271">
        <f t="shared" si="21"/>
        <v>0</v>
      </c>
    </row>
    <row r="120" spans="1:26" ht="63.75" x14ac:dyDescent="0.25">
      <c r="A120" s="142" t="s">
        <v>1293</v>
      </c>
      <c r="B120" s="33"/>
      <c r="C120" s="23" t="s">
        <v>192</v>
      </c>
      <c r="D120" s="1" t="s">
        <v>1</v>
      </c>
      <c r="E120" s="153">
        <f t="shared" si="13"/>
        <v>18</v>
      </c>
      <c r="F120" s="348">
        <f t="shared" si="16"/>
        <v>1500</v>
      </c>
      <c r="G120" s="343">
        <f t="shared" si="14"/>
        <v>27000</v>
      </c>
      <c r="H120" s="224" t="s">
        <v>1110</v>
      </c>
      <c r="I120" s="324">
        <v>1417.5</v>
      </c>
      <c r="J120" s="315"/>
      <c r="K120" s="315">
        <v>1500</v>
      </c>
      <c r="L120" s="315"/>
      <c r="M120" s="315"/>
      <c r="N120" s="315"/>
      <c r="O120" s="315"/>
      <c r="P120" s="315"/>
      <c r="Q120" s="154">
        <v>5</v>
      </c>
      <c r="R120" s="303">
        <f t="shared" si="15"/>
        <v>7500</v>
      </c>
      <c r="S120" s="27">
        <v>5</v>
      </c>
      <c r="T120" s="298">
        <f t="shared" si="18"/>
        <v>7500</v>
      </c>
      <c r="U120" s="157">
        <v>3</v>
      </c>
      <c r="V120" s="289">
        <f t="shared" si="19"/>
        <v>4500</v>
      </c>
      <c r="W120" s="45">
        <v>0</v>
      </c>
      <c r="X120" s="281">
        <f t="shared" si="20"/>
        <v>0</v>
      </c>
      <c r="Y120" s="160">
        <v>5</v>
      </c>
      <c r="Z120" s="271">
        <f t="shared" si="21"/>
        <v>7500</v>
      </c>
    </row>
    <row r="121" spans="1:26" x14ac:dyDescent="0.25">
      <c r="A121" s="142" t="s">
        <v>1294</v>
      </c>
      <c r="B121" s="33"/>
      <c r="C121" s="21" t="s">
        <v>36</v>
      </c>
      <c r="D121" s="1" t="s">
        <v>1</v>
      </c>
      <c r="E121" s="153">
        <f t="shared" si="13"/>
        <v>155</v>
      </c>
      <c r="F121" s="348">
        <f t="shared" si="16"/>
        <v>16.956666666666667</v>
      </c>
      <c r="G121" s="343">
        <f t="shared" si="14"/>
        <v>2628.2833333333333</v>
      </c>
      <c r="H121" s="224" t="s">
        <v>1110</v>
      </c>
      <c r="I121" s="321">
        <v>22.8</v>
      </c>
      <c r="J121" s="322">
        <v>17.899999999999999</v>
      </c>
      <c r="K121" s="322">
        <v>14.65</v>
      </c>
      <c r="L121" s="315">
        <v>17.899999999999999</v>
      </c>
      <c r="M121" s="315"/>
      <c r="N121" s="315">
        <v>15.89</v>
      </c>
      <c r="O121" s="315">
        <v>15.9</v>
      </c>
      <c r="P121" s="315">
        <v>19.5</v>
      </c>
      <c r="Q121" s="155">
        <v>5</v>
      </c>
      <c r="R121" s="303">
        <f t="shared" si="15"/>
        <v>84.783333333333331</v>
      </c>
      <c r="S121" s="25">
        <v>50</v>
      </c>
      <c r="T121" s="298">
        <f t="shared" si="18"/>
        <v>847.83333333333337</v>
      </c>
      <c r="U121" s="47">
        <v>70</v>
      </c>
      <c r="V121" s="289">
        <f t="shared" si="19"/>
        <v>1186.9666666666667</v>
      </c>
      <c r="W121" s="43">
        <v>30</v>
      </c>
      <c r="X121" s="281">
        <f t="shared" si="20"/>
        <v>508.7</v>
      </c>
      <c r="Y121" s="37">
        <v>0</v>
      </c>
      <c r="Z121" s="271">
        <f t="shared" si="21"/>
        <v>0</v>
      </c>
    </row>
    <row r="122" spans="1:26" x14ac:dyDescent="0.25">
      <c r="A122" s="142" t="s">
        <v>1295</v>
      </c>
      <c r="B122" s="18"/>
      <c r="C122" s="21" t="s">
        <v>37</v>
      </c>
      <c r="D122" s="1" t="s">
        <v>1</v>
      </c>
      <c r="E122" s="153">
        <f t="shared" si="13"/>
        <v>155</v>
      </c>
      <c r="F122" s="348">
        <f t="shared" si="16"/>
        <v>43.813333333333333</v>
      </c>
      <c r="G122" s="343">
        <f t="shared" si="14"/>
        <v>6791.0666666666657</v>
      </c>
      <c r="H122" s="224" t="s">
        <v>1110</v>
      </c>
      <c r="I122" s="321">
        <v>83.85</v>
      </c>
      <c r="J122" s="315"/>
      <c r="K122" s="315">
        <v>46.83</v>
      </c>
      <c r="L122" s="315">
        <v>45.99</v>
      </c>
      <c r="M122" s="315"/>
      <c r="N122" s="315">
        <v>38.619999999999997</v>
      </c>
      <c r="O122" s="315"/>
      <c r="P122" s="315"/>
      <c r="Q122" s="155">
        <v>5</v>
      </c>
      <c r="R122" s="303">
        <f t="shared" si="15"/>
        <v>219.06666666666666</v>
      </c>
      <c r="S122" s="25">
        <v>50</v>
      </c>
      <c r="T122" s="298">
        <f t="shared" si="18"/>
        <v>2190.6666666666665</v>
      </c>
      <c r="U122" s="47">
        <v>70</v>
      </c>
      <c r="V122" s="289">
        <f t="shared" si="19"/>
        <v>3066.9333333333334</v>
      </c>
      <c r="W122" s="43">
        <v>30</v>
      </c>
      <c r="X122" s="281">
        <f t="shared" si="20"/>
        <v>1314.4</v>
      </c>
      <c r="Y122" s="37">
        <v>0</v>
      </c>
      <c r="Z122" s="271">
        <f t="shared" si="21"/>
        <v>0</v>
      </c>
    </row>
    <row r="123" spans="1:26" x14ac:dyDescent="0.25">
      <c r="A123" s="142" t="s">
        <v>1296</v>
      </c>
      <c r="B123" s="55"/>
      <c r="C123" s="128" t="s">
        <v>38</v>
      </c>
      <c r="D123" s="134" t="s">
        <v>1</v>
      </c>
      <c r="E123" s="153">
        <f t="shared" si="13"/>
        <v>185</v>
      </c>
      <c r="F123" s="348">
        <f t="shared" si="16"/>
        <v>10.7475</v>
      </c>
      <c r="G123" s="343">
        <f t="shared" si="14"/>
        <v>1988.2874999999999</v>
      </c>
      <c r="H123" s="224" t="s">
        <v>1110</v>
      </c>
      <c r="I123" s="321">
        <v>10.44</v>
      </c>
      <c r="J123" s="315"/>
      <c r="K123" s="315">
        <v>8.8800000000000008</v>
      </c>
      <c r="L123" s="315"/>
      <c r="M123" s="315"/>
      <c r="N123" s="315">
        <v>10.210000000000001</v>
      </c>
      <c r="O123" s="315">
        <v>9.9</v>
      </c>
      <c r="P123" s="315">
        <v>14</v>
      </c>
      <c r="Q123" s="155">
        <v>5</v>
      </c>
      <c r="R123" s="303">
        <f t="shared" si="15"/>
        <v>53.737500000000004</v>
      </c>
      <c r="S123" s="25">
        <v>50</v>
      </c>
      <c r="T123" s="298">
        <f t="shared" si="18"/>
        <v>537.375</v>
      </c>
      <c r="U123" s="47">
        <v>70</v>
      </c>
      <c r="V123" s="289">
        <f t="shared" si="19"/>
        <v>752.32500000000005</v>
      </c>
      <c r="W123" s="43">
        <v>30</v>
      </c>
      <c r="X123" s="281">
        <f t="shared" si="20"/>
        <v>322.42500000000001</v>
      </c>
      <c r="Y123" s="37">
        <v>30</v>
      </c>
      <c r="Z123" s="271">
        <f t="shared" si="21"/>
        <v>322.42500000000001</v>
      </c>
    </row>
    <row r="124" spans="1:26" ht="13.5" customHeight="1" x14ac:dyDescent="0.25">
      <c r="A124" s="142" t="s">
        <v>1297</v>
      </c>
      <c r="B124">
        <v>3755</v>
      </c>
      <c r="C124" s="121" t="s">
        <v>290</v>
      </c>
      <c r="D124" s="149" t="s">
        <v>229</v>
      </c>
      <c r="E124" s="153">
        <f t="shared" si="13"/>
        <v>0</v>
      </c>
      <c r="F124" s="348">
        <f t="shared" si="16"/>
        <v>17.88</v>
      </c>
      <c r="G124" s="343">
        <f t="shared" si="14"/>
        <v>0</v>
      </c>
      <c r="H124" s="6" t="s">
        <v>175</v>
      </c>
      <c r="I124" s="318"/>
      <c r="J124" s="318">
        <v>17.88</v>
      </c>
      <c r="K124" s="318"/>
      <c r="L124" s="318"/>
      <c r="M124" s="318"/>
      <c r="N124" s="318"/>
      <c r="O124" s="318"/>
      <c r="P124" s="318"/>
      <c r="Q124" s="156"/>
      <c r="R124" s="303">
        <f t="shared" si="15"/>
        <v>0</v>
      </c>
      <c r="S124" s="173"/>
      <c r="T124" s="298">
        <f t="shared" si="18"/>
        <v>0</v>
      </c>
      <c r="U124" s="158"/>
      <c r="V124" s="289">
        <f t="shared" si="19"/>
        <v>0</v>
      </c>
      <c r="W124" s="159"/>
      <c r="X124" s="281">
        <f t="shared" si="20"/>
        <v>0</v>
      </c>
      <c r="Y124" s="161"/>
      <c r="Z124" s="271">
        <f t="shared" si="21"/>
        <v>0</v>
      </c>
    </row>
    <row r="125" spans="1:26" x14ac:dyDescent="0.25">
      <c r="A125" s="142" t="s">
        <v>1298</v>
      </c>
      <c r="B125">
        <v>3750</v>
      </c>
      <c r="C125" s="121" t="s">
        <v>291</v>
      </c>
      <c r="D125" s="149" t="s">
        <v>229</v>
      </c>
      <c r="E125" s="153">
        <f t="shared" si="13"/>
        <v>0</v>
      </c>
      <c r="F125" s="348">
        <f t="shared" si="16"/>
        <v>24.05</v>
      </c>
      <c r="G125" s="343">
        <f t="shared" si="14"/>
        <v>0</v>
      </c>
      <c r="H125" s="6" t="s">
        <v>175</v>
      </c>
      <c r="I125" s="318"/>
      <c r="J125" s="318">
        <v>24.05</v>
      </c>
      <c r="K125" s="318"/>
      <c r="L125" s="318"/>
      <c r="M125" s="318"/>
      <c r="N125" s="318"/>
      <c r="O125" s="318"/>
      <c r="P125" s="318"/>
      <c r="Q125" s="156"/>
      <c r="R125" s="303">
        <f t="shared" si="15"/>
        <v>0</v>
      </c>
      <c r="S125" s="173"/>
      <c r="T125" s="298">
        <f t="shared" si="18"/>
        <v>0</v>
      </c>
      <c r="U125" s="158"/>
      <c r="V125" s="289">
        <f t="shared" si="19"/>
        <v>0</v>
      </c>
      <c r="W125" s="159"/>
      <c r="X125" s="281">
        <f t="shared" si="20"/>
        <v>0</v>
      </c>
      <c r="Y125" s="161"/>
      <c r="Z125" s="271">
        <f t="shared" si="21"/>
        <v>0</v>
      </c>
    </row>
    <row r="126" spans="1:26" x14ac:dyDescent="0.25">
      <c r="A126" s="142" t="s">
        <v>1299</v>
      </c>
      <c r="B126" s="55"/>
      <c r="C126" s="132" t="s">
        <v>207</v>
      </c>
      <c r="D126" s="56" t="s">
        <v>187</v>
      </c>
      <c r="E126" s="153">
        <f t="shared" si="13"/>
        <v>24</v>
      </c>
      <c r="F126" s="348">
        <f t="shared" si="16"/>
        <v>80.304999999999993</v>
      </c>
      <c r="G126" s="343">
        <f t="shared" si="14"/>
        <v>1927.3199999999997</v>
      </c>
      <c r="H126" s="152" t="s">
        <v>1110</v>
      </c>
      <c r="I126" s="322"/>
      <c r="J126" s="322">
        <v>106.63</v>
      </c>
      <c r="K126" s="322"/>
      <c r="L126" s="315"/>
      <c r="M126" s="315"/>
      <c r="N126" s="315">
        <v>53.98</v>
      </c>
      <c r="O126" s="315"/>
      <c r="P126" s="315"/>
      <c r="Q126" s="171">
        <v>6</v>
      </c>
      <c r="R126" s="303">
        <f t="shared" si="15"/>
        <v>481.82999999999993</v>
      </c>
      <c r="S126" s="108">
        <v>6</v>
      </c>
      <c r="T126" s="298">
        <f t="shared" si="18"/>
        <v>481.82999999999993</v>
      </c>
      <c r="U126" s="115">
        <v>6</v>
      </c>
      <c r="V126" s="289">
        <f t="shared" si="19"/>
        <v>481.82999999999993</v>
      </c>
      <c r="W126" s="112"/>
      <c r="X126" s="281">
        <f t="shared" si="20"/>
        <v>0</v>
      </c>
      <c r="Y126" s="111">
        <v>6</v>
      </c>
      <c r="Z126" s="271">
        <f t="shared" si="21"/>
        <v>481.82999999999993</v>
      </c>
    </row>
    <row r="127" spans="1:26" ht="30" x14ac:dyDescent="0.25">
      <c r="A127" s="142" t="s">
        <v>1300</v>
      </c>
      <c r="B127">
        <v>38191</v>
      </c>
      <c r="C127" s="121" t="s">
        <v>293</v>
      </c>
      <c r="D127" s="149" t="s">
        <v>229</v>
      </c>
      <c r="E127" s="153">
        <f t="shared" si="13"/>
        <v>165</v>
      </c>
      <c r="F127" s="348">
        <f t="shared" si="16"/>
        <v>98.91</v>
      </c>
      <c r="G127" s="343">
        <f t="shared" si="14"/>
        <v>16320.149999999998</v>
      </c>
      <c r="H127" s="6" t="s">
        <v>175</v>
      </c>
      <c r="I127" s="318"/>
      <c r="J127" s="318">
        <v>98.91</v>
      </c>
      <c r="K127" s="315">
        <v>13.25</v>
      </c>
      <c r="L127" s="315">
        <v>16.79</v>
      </c>
      <c r="M127" s="315"/>
      <c r="N127" s="315"/>
      <c r="O127" s="315">
        <v>17.899999999999999</v>
      </c>
      <c r="P127" s="315"/>
      <c r="Q127" s="155">
        <v>5</v>
      </c>
      <c r="R127" s="303">
        <f t="shared" si="15"/>
        <v>494.54999999999995</v>
      </c>
      <c r="S127" s="25">
        <v>30</v>
      </c>
      <c r="T127" s="298">
        <f t="shared" si="18"/>
        <v>2967.2999999999997</v>
      </c>
      <c r="U127" s="47">
        <v>70</v>
      </c>
      <c r="V127" s="289">
        <f t="shared" si="19"/>
        <v>6923.7</v>
      </c>
      <c r="W127" s="43">
        <v>30</v>
      </c>
      <c r="X127" s="281">
        <f t="shared" si="20"/>
        <v>2967.2999999999997</v>
      </c>
      <c r="Y127" s="37">
        <v>30</v>
      </c>
      <c r="Z127" s="271">
        <f t="shared" si="21"/>
        <v>2967.2999999999997</v>
      </c>
    </row>
    <row r="128" spans="1:26" ht="30" x14ac:dyDescent="0.25">
      <c r="A128" s="142" t="s">
        <v>1301</v>
      </c>
      <c r="B128">
        <v>39381</v>
      </c>
      <c r="C128" s="121" t="s">
        <v>294</v>
      </c>
      <c r="D128" s="149" t="s">
        <v>229</v>
      </c>
      <c r="E128" s="153">
        <f t="shared" si="13"/>
        <v>0</v>
      </c>
      <c r="F128" s="348">
        <f t="shared" si="16"/>
        <v>9.24</v>
      </c>
      <c r="G128" s="343">
        <f t="shared" si="14"/>
        <v>0</v>
      </c>
      <c r="H128" s="6" t="s">
        <v>175</v>
      </c>
      <c r="I128" s="318"/>
      <c r="J128" s="318">
        <v>9.24</v>
      </c>
      <c r="K128" s="318"/>
      <c r="L128" s="318"/>
      <c r="M128" s="318"/>
      <c r="N128" s="318"/>
      <c r="O128" s="318"/>
      <c r="P128" s="318"/>
      <c r="Q128" s="156"/>
      <c r="R128" s="303">
        <f t="shared" si="15"/>
        <v>0</v>
      </c>
      <c r="S128" s="173"/>
      <c r="T128" s="298">
        <f t="shared" si="18"/>
        <v>0</v>
      </c>
      <c r="U128" s="158"/>
      <c r="V128" s="289">
        <f t="shared" si="19"/>
        <v>0</v>
      </c>
      <c r="W128" s="159"/>
      <c r="X128" s="281">
        <f t="shared" si="20"/>
        <v>0</v>
      </c>
      <c r="Y128" s="161"/>
      <c r="Z128" s="271">
        <f t="shared" si="21"/>
        <v>0</v>
      </c>
    </row>
    <row r="129" spans="1:26" ht="30" x14ac:dyDescent="0.25">
      <c r="A129" s="142" t="s">
        <v>1302</v>
      </c>
      <c r="B129">
        <v>39377</v>
      </c>
      <c r="C129" s="121" t="s">
        <v>292</v>
      </c>
      <c r="D129" s="149" t="s">
        <v>229</v>
      </c>
      <c r="E129" s="153">
        <f t="shared" si="13"/>
        <v>0</v>
      </c>
      <c r="F129" s="348">
        <f t="shared" si="16"/>
        <v>133.12</v>
      </c>
      <c r="G129" s="343">
        <f t="shared" si="14"/>
        <v>0</v>
      </c>
      <c r="H129" s="6" t="s">
        <v>175</v>
      </c>
      <c r="I129" s="318"/>
      <c r="J129" s="318">
        <v>133.12</v>
      </c>
      <c r="K129" s="318"/>
      <c r="L129" s="318"/>
      <c r="M129" s="318"/>
      <c r="N129" s="318"/>
      <c r="O129" s="318"/>
      <c r="P129" s="318"/>
      <c r="Q129" s="156"/>
      <c r="R129" s="303">
        <f t="shared" si="15"/>
        <v>0</v>
      </c>
      <c r="S129" s="173"/>
      <c r="T129" s="298">
        <f t="shared" si="18"/>
        <v>0</v>
      </c>
      <c r="U129" s="158"/>
      <c r="V129" s="289">
        <f t="shared" si="19"/>
        <v>0</v>
      </c>
      <c r="W129" s="159"/>
      <c r="X129" s="281">
        <f t="shared" si="20"/>
        <v>0</v>
      </c>
      <c r="Y129" s="161"/>
      <c r="Z129" s="271">
        <f t="shared" si="21"/>
        <v>0</v>
      </c>
    </row>
    <row r="130" spans="1:26" x14ac:dyDescent="0.25">
      <c r="A130" s="142" t="s">
        <v>1303</v>
      </c>
      <c r="B130" s="55"/>
      <c r="C130" s="131" t="s">
        <v>39</v>
      </c>
      <c r="D130" s="134" t="s">
        <v>1</v>
      </c>
      <c r="E130" s="153">
        <f t="shared" si="13"/>
        <v>165</v>
      </c>
      <c r="F130" s="348">
        <f t="shared" si="16"/>
        <v>33.906666666666666</v>
      </c>
      <c r="G130" s="343">
        <f t="shared" si="14"/>
        <v>5594.5999999999995</v>
      </c>
      <c r="H130" s="152" t="s">
        <v>1110</v>
      </c>
      <c r="I130" s="321">
        <v>60.84</v>
      </c>
      <c r="J130" s="315">
        <v>44.32</v>
      </c>
      <c r="K130" s="315"/>
      <c r="L130" s="315"/>
      <c r="M130" s="315"/>
      <c r="N130" s="315">
        <v>29.9</v>
      </c>
      <c r="O130" s="315"/>
      <c r="P130" s="315">
        <v>27.5</v>
      </c>
      <c r="Q130" s="155">
        <v>5</v>
      </c>
      <c r="R130" s="303">
        <f t="shared" si="15"/>
        <v>169.53333333333333</v>
      </c>
      <c r="S130" s="25">
        <v>50</v>
      </c>
      <c r="T130" s="298">
        <f t="shared" si="18"/>
        <v>1695.3333333333333</v>
      </c>
      <c r="U130" s="47">
        <v>50</v>
      </c>
      <c r="V130" s="289">
        <f t="shared" si="19"/>
        <v>1695.3333333333333</v>
      </c>
      <c r="W130" s="43">
        <v>30</v>
      </c>
      <c r="X130" s="281">
        <f t="shared" si="20"/>
        <v>1017.2</v>
      </c>
      <c r="Y130" s="37">
        <v>30</v>
      </c>
      <c r="Z130" s="271">
        <f t="shared" si="21"/>
        <v>1017.2</v>
      </c>
    </row>
    <row r="131" spans="1:26" ht="30" x14ac:dyDescent="0.25">
      <c r="A131" s="142" t="s">
        <v>1304</v>
      </c>
      <c r="B131">
        <v>3753</v>
      </c>
      <c r="C131" s="121" t="s">
        <v>295</v>
      </c>
      <c r="D131" s="149" t="s">
        <v>229</v>
      </c>
      <c r="E131" s="153">
        <f t="shared" si="13"/>
        <v>0</v>
      </c>
      <c r="F131" s="348">
        <f t="shared" si="16"/>
        <v>6.05</v>
      </c>
      <c r="G131" s="343">
        <f t="shared" si="14"/>
        <v>0</v>
      </c>
      <c r="H131" s="6" t="s">
        <v>175</v>
      </c>
      <c r="I131" s="318"/>
      <c r="J131" s="318">
        <v>6.05</v>
      </c>
      <c r="K131" s="318"/>
      <c r="L131" s="318"/>
      <c r="M131" s="318"/>
      <c r="N131" s="318"/>
      <c r="O131" s="318"/>
      <c r="P131" s="318"/>
      <c r="Q131" s="156"/>
      <c r="R131" s="303">
        <f t="shared" si="15"/>
        <v>0</v>
      </c>
      <c r="S131" s="173"/>
      <c r="T131" s="298">
        <f t="shared" si="18"/>
        <v>0</v>
      </c>
      <c r="U131" s="158"/>
      <c r="V131" s="289">
        <f t="shared" si="19"/>
        <v>0</v>
      </c>
      <c r="W131" s="159"/>
      <c r="X131" s="281">
        <f t="shared" si="20"/>
        <v>0</v>
      </c>
      <c r="Y131" s="161"/>
      <c r="Z131" s="271">
        <f t="shared" si="21"/>
        <v>0</v>
      </c>
    </row>
    <row r="132" spans="1:26" x14ac:dyDescent="0.25">
      <c r="A132" s="142" t="s">
        <v>1305</v>
      </c>
      <c r="B132" s="117"/>
      <c r="C132" s="132" t="s">
        <v>186</v>
      </c>
      <c r="D132" s="56" t="s">
        <v>187</v>
      </c>
      <c r="E132" s="153">
        <f t="shared" si="13"/>
        <v>24</v>
      </c>
      <c r="F132" s="348">
        <f t="shared" si="16"/>
        <v>59.95</v>
      </c>
      <c r="G132" s="343">
        <f t="shared" si="14"/>
        <v>1438.8000000000002</v>
      </c>
      <c r="H132" s="152" t="s">
        <v>1110</v>
      </c>
      <c r="I132" s="322"/>
      <c r="J132" s="322">
        <v>61.77</v>
      </c>
      <c r="K132" s="322"/>
      <c r="L132" s="315"/>
      <c r="M132" s="315"/>
      <c r="N132" s="315">
        <v>58.13</v>
      </c>
      <c r="O132" s="315"/>
      <c r="P132" s="315"/>
      <c r="Q132" s="171">
        <v>6</v>
      </c>
      <c r="R132" s="303">
        <f t="shared" si="15"/>
        <v>359.70000000000005</v>
      </c>
      <c r="S132" s="108">
        <v>6</v>
      </c>
      <c r="T132" s="298">
        <f t="shared" si="18"/>
        <v>359.70000000000005</v>
      </c>
      <c r="U132" s="115">
        <v>6</v>
      </c>
      <c r="V132" s="289">
        <f t="shared" si="19"/>
        <v>359.70000000000005</v>
      </c>
      <c r="W132" s="112"/>
      <c r="X132" s="281">
        <f t="shared" si="20"/>
        <v>0</v>
      </c>
      <c r="Y132" s="111">
        <v>6</v>
      </c>
      <c r="Z132" s="271">
        <f t="shared" si="21"/>
        <v>359.70000000000005</v>
      </c>
    </row>
    <row r="133" spans="1:26" ht="30" x14ac:dyDescent="0.25">
      <c r="A133" s="142" t="s">
        <v>1306</v>
      </c>
      <c r="B133">
        <v>39388</v>
      </c>
      <c r="C133" s="121" t="s">
        <v>296</v>
      </c>
      <c r="D133" s="149" t="s">
        <v>229</v>
      </c>
      <c r="E133" s="153">
        <f t="shared" ref="E133:E192" si="22">Q133+S133+U133+W133+Y133</f>
        <v>0</v>
      </c>
      <c r="F133" s="348">
        <f t="shared" si="16"/>
        <v>3569</v>
      </c>
      <c r="G133" s="343">
        <f t="shared" ref="G133:G196" si="23">R133+T133+V133+X133+Z133</f>
        <v>0</v>
      </c>
      <c r="H133" s="6" t="s">
        <v>175</v>
      </c>
      <c r="I133" s="318"/>
      <c r="J133" s="318">
        <v>3569</v>
      </c>
      <c r="K133" s="318"/>
      <c r="L133" s="318"/>
      <c r="M133" s="318"/>
      <c r="N133" s="318"/>
      <c r="O133" s="318"/>
      <c r="P133" s="318"/>
      <c r="Q133" s="156"/>
      <c r="R133" s="303">
        <f t="shared" si="15"/>
        <v>0</v>
      </c>
      <c r="S133" s="173"/>
      <c r="T133" s="298">
        <f t="shared" si="18"/>
        <v>0</v>
      </c>
      <c r="U133" s="158"/>
      <c r="V133" s="289">
        <f t="shared" si="19"/>
        <v>0</v>
      </c>
      <c r="W133" s="159"/>
      <c r="X133" s="281">
        <f t="shared" si="20"/>
        <v>0</v>
      </c>
      <c r="Y133" s="161"/>
      <c r="Z133" s="271">
        <f t="shared" si="21"/>
        <v>0</v>
      </c>
    </row>
    <row r="134" spans="1:26" x14ac:dyDescent="0.25">
      <c r="A134" s="142" t="s">
        <v>1307</v>
      </c>
      <c r="B134" s="55"/>
      <c r="C134" s="131" t="s">
        <v>40</v>
      </c>
      <c r="D134" s="134" t="s">
        <v>1</v>
      </c>
      <c r="E134" s="153">
        <f t="shared" si="22"/>
        <v>215</v>
      </c>
      <c r="F134" s="348">
        <f t="shared" si="16"/>
        <v>28.58</v>
      </c>
      <c r="G134" s="343">
        <f t="shared" si="23"/>
        <v>6144.6999999999989</v>
      </c>
      <c r="H134" s="152" t="s">
        <v>1110</v>
      </c>
      <c r="I134" s="321">
        <v>30</v>
      </c>
      <c r="J134" s="315">
        <v>39.520000000000003</v>
      </c>
      <c r="K134" s="315">
        <v>24</v>
      </c>
      <c r="L134" s="315">
        <v>33.9</v>
      </c>
      <c r="M134" s="315"/>
      <c r="N134" s="315">
        <v>16.899999999999999</v>
      </c>
      <c r="O134" s="315"/>
      <c r="P134" s="315"/>
      <c r="Q134" s="155">
        <v>5</v>
      </c>
      <c r="R134" s="303">
        <f t="shared" si="15"/>
        <v>142.89999999999998</v>
      </c>
      <c r="S134" s="25">
        <v>50</v>
      </c>
      <c r="T134" s="298">
        <f t="shared" si="18"/>
        <v>1429</v>
      </c>
      <c r="U134" s="47">
        <v>100</v>
      </c>
      <c r="V134" s="289">
        <f t="shared" si="19"/>
        <v>2858</v>
      </c>
      <c r="W134" s="43">
        <v>30</v>
      </c>
      <c r="X134" s="281">
        <f t="shared" si="20"/>
        <v>857.4</v>
      </c>
      <c r="Y134" s="37">
        <v>30</v>
      </c>
      <c r="Z134" s="271">
        <f t="shared" si="21"/>
        <v>857.4</v>
      </c>
    </row>
    <row r="135" spans="1:26" x14ac:dyDescent="0.25">
      <c r="A135" s="142" t="s">
        <v>1308</v>
      </c>
      <c r="B135">
        <v>39386</v>
      </c>
      <c r="C135" s="121" t="s">
        <v>297</v>
      </c>
      <c r="D135" s="149" t="s">
        <v>229</v>
      </c>
      <c r="E135" s="153">
        <f t="shared" si="22"/>
        <v>0</v>
      </c>
      <c r="F135" s="348">
        <f t="shared" si="16"/>
        <v>38.799999999999997</v>
      </c>
      <c r="G135" s="343">
        <f t="shared" si="23"/>
        <v>0</v>
      </c>
      <c r="H135" s="6" t="s">
        <v>175</v>
      </c>
      <c r="I135" s="318"/>
      <c r="J135" s="318">
        <v>38.799999999999997</v>
      </c>
      <c r="K135" s="318"/>
      <c r="L135" s="318"/>
      <c r="M135" s="318"/>
      <c r="N135" s="318"/>
      <c r="O135" s="318"/>
      <c r="P135" s="318"/>
      <c r="Q135" s="156"/>
      <c r="R135" s="303">
        <f t="shared" si="15"/>
        <v>0</v>
      </c>
      <c r="S135" s="173"/>
      <c r="T135" s="298">
        <f t="shared" si="18"/>
        <v>0</v>
      </c>
      <c r="U135" s="158"/>
      <c r="V135" s="289">
        <f t="shared" si="19"/>
        <v>0</v>
      </c>
      <c r="W135" s="159"/>
      <c r="X135" s="281">
        <f t="shared" si="20"/>
        <v>0</v>
      </c>
      <c r="Y135" s="161"/>
      <c r="Z135" s="271">
        <f t="shared" si="21"/>
        <v>0</v>
      </c>
    </row>
    <row r="136" spans="1:26" x14ac:dyDescent="0.25">
      <c r="A136" s="142" t="s">
        <v>1309</v>
      </c>
      <c r="B136" s="55"/>
      <c r="C136" s="128" t="s">
        <v>41</v>
      </c>
      <c r="D136" s="134" t="s">
        <v>1</v>
      </c>
      <c r="E136" s="153">
        <f t="shared" si="22"/>
        <v>165</v>
      </c>
      <c r="F136" s="348">
        <f t="shared" si="16"/>
        <v>35</v>
      </c>
      <c r="G136" s="343">
        <f t="shared" si="23"/>
        <v>5775</v>
      </c>
      <c r="H136" s="152" t="s">
        <v>1110</v>
      </c>
      <c r="I136" s="321">
        <v>36.69</v>
      </c>
      <c r="J136" s="315"/>
      <c r="K136" s="315">
        <v>35</v>
      </c>
      <c r="L136" s="315"/>
      <c r="M136" s="315"/>
      <c r="N136" s="315"/>
      <c r="O136" s="315"/>
      <c r="P136" s="315"/>
      <c r="Q136" s="155">
        <v>5</v>
      </c>
      <c r="R136" s="303">
        <f t="shared" si="15"/>
        <v>175</v>
      </c>
      <c r="S136" s="25">
        <v>50</v>
      </c>
      <c r="T136" s="298">
        <f t="shared" si="18"/>
        <v>1750</v>
      </c>
      <c r="U136" s="47">
        <v>50</v>
      </c>
      <c r="V136" s="289">
        <f t="shared" si="19"/>
        <v>1750</v>
      </c>
      <c r="W136" s="43">
        <v>30</v>
      </c>
      <c r="X136" s="281">
        <f t="shared" si="20"/>
        <v>1050</v>
      </c>
      <c r="Y136" s="37">
        <v>30</v>
      </c>
      <c r="Z136" s="271">
        <f t="shared" si="21"/>
        <v>1050</v>
      </c>
    </row>
    <row r="137" spans="1:26" x14ac:dyDescent="0.25">
      <c r="A137" s="142" t="s">
        <v>1310</v>
      </c>
      <c r="B137" s="117"/>
      <c r="C137" s="131" t="s">
        <v>42</v>
      </c>
      <c r="D137" s="134" t="s">
        <v>1</v>
      </c>
      <c r="E137" s="153">
        <f t="shared" si="22"/>
        <v>160</v>
      </c>
      <c r="F137" s="348">
        <f t="shared" si="16"/>
        <v>33.225999999999999</v>
      </c>
      <c r="G137" s="343">
        <f t="shared" si="23"/>
        <v>5316.1599999999989</v>
      </c>
      <c r="H137" s="152" t="s">
        <v>1110</v>
      </c>
      <c r="I137" s="321">
        <v>32.75</v>
      </c>
      <c r="J137" s="315">
        <v>59.75</v>
      </c>
      <c r="K137" s="315">
        <v>26</v>
      </c>
      <c r="L137" s="315">
        <v>25.1</v>
      </c>
      <c r="M137" s="315">
        <v>33.9</v>
      </c>
      <c r="N137" s="315">
        <v>21.38</v>
      </c>
      <c r="O137" s="315"/>
      <c r="P137" s="315"/>
      <c r="Q137" s="155">
        <v>5</v>
      </c>
      <c r="R137" s="303">
        <f t="shared" si="15"/>
        <v>166.13</v>
      </c>
      <c r="S137" s="25">
        <v>50</v>
      </c>
      <c r="T137" s="298">
        <f t="shared" si="18"/>
        <v>1661.3</v>
      </c>
      <c r="U137" s="47">
        <v>75</v>
      </c>
      <c r="V137" s="289">
        <f t="shared" si="19"/>
        <v>2491.9499999999998</v>
      </c>
      <c r="W137" s="43">
        <v>30</v>
      </c>
      <c r="X137" s="281">
        <f t="shared" si="20"/>
        <v>996.78</v>
      </c>
      <c r="Y137" s="37">
        <v>0</v>
      </c>
      <c r="Z137" s="271">
        <f t="shared" si="21"/>
        <v>0</v>
      </c>
    </row>
    <row r="138" spans="1:26" x14ac:dyDescent="0.25">
      <c r="A138" s="142" t="s">
        <v>1311</v>
      </c>
      <c r="B138" s="55"/>
      <c r="C138" s="131" t="s">
        <v>43</v>
      </c>
      <c r="D138" s="134" t="s">
        <v>1</v>
      </c>
      <c r="E138" s="153">
        <f t="shared" si="22"/>
        <v>135</v>
      </c>
      <c r="F138" s="348">
        <f t="shared" si="16"/>
        <v>29.802500000000002</v>
      </c>
      <c r="G138" s="343">
        <f t="shared" si="23"/>
        <v>4023.3375000000005</v>
      </c>
      <c r="H138" s="152" t="s">
        <v>1110</v>
      </c>
      <c r="I138" s="321">
        <v>24.01</v>
      </c>
      <c r="J138" s="315">
        <v>39.520000000000003</v>
      </c>
      <c r="K138" s="315">
        <v>39</v>
      </c>
      <c r="L138" s="315">
        <v>24.9</v>
      </c>
      <c r="M138" s="315"/>
      <c r="N138" s="315">
        <v>15.79</v>
      </c>
      <c r="O138" s="315"/>
      <c r="P138" s="315"/>
      <c r="Q138" s="155">
        <v>5</v>
      </c>
      <c r="R138" s="303">
        <f t="shared" si="15"/>
        <v>149.01250000000002</v>
      </c>
      <c r="S138" s="25">
        <v>30</v>
      </c>
      <c r="T138" s="298">
        <f t="shared" si="18"/>
        <v>894.07500000000005</v>
      </c>
      <c r="U138" s="47">
        <v>70</v>
      </c>
      <c r="V138" s="289">
        <f t="shared" si="19"/>
        <v>2086.1750000000002</v>
      </c>
      <c r="W138" s="43">
        <v>30</v>
      </c>
      <c r="X138" s="281">
        <f t="shared" si="20"/>
        <v>894.07500000000005</v>
      </c>
      <c r="Y138" s="37">
        <v>0</v>
      </c>
      <c r="Z138" s="271">
        <f t="shared" si="21"/>
        <v>0</v>
      </c>
    </row>
    <row r="139" spans="1:26" x14ac:dyDescent="0.25">
      <c r="A139" s="142" t="s">
        <v>1312</v>
      </c>
      <c r="B139" s="55"/>
      <c r="C139" s="131" t="s">
        <v>44</v>
      </c>
      <c r="D139" s="134" t="s">
        <v>1</v>
      </c>
      <c r="E139" s="153">
        <f t="shared" si="22"/>
        <v>45</v>
      </c>
      <c r="F139" s="348">
        <f t="shared" si="16"/>
        <v>30.49</v>
      </c>
      <c r="G139" s="343">
        <f t="shared" si="23"/>
        <v>1372.0499999999997</v>
      </c>
      <c r="H139" s="152" t="s">
        <v>1110</v>
      </c>
      <c r="I139" s="321">
        <v>20</v>
      </c>
      <c r="J139" s="315"/>
      <c r="K139" s="315">
        <v>32</v>
      </c>
      <c r="L139" s="315">
        <v>44.9</v>
      </c>
      <c r="M139" s="315"/>
      <c r="N139" s="315">
        <v>14.57</v>
      </c>
      <c r="O139" s="315"/>
      <c r="P139" s="315"/>
      <c r="Q139" s="155">
        <v>5</v>
      </c>
      <c r="R139" s="303">
        <f t="shared" ref="R139:R198" si="24">$F139*Q139</f>
        <v>152.44999999999999</v>
      </c>
      <c r="S139" s="25">
        <v>30</v>
      </c>
      <c r="T139" s="298">
        <f t="shared" si="18"/>
        <v>914.69999999999993</v>
      </c>
      <c r="U139" s="47">
        <v>0</v>
      </c>
      <c r="V139" s="289">
        <f t="shared" si="19"/>
        <v>0</v>
      </c>
      <c r="W139" s="43">
        <v>0</v>
      </c>
      <c r="X139" s="281">
        <f t="shared" si="20"/>
        <v>0</v>
      </c>
      <c r="Y139" s="37">
        <v>10</v>
      </c>
      <c r="Z139" s="271">
        <f t="shared" si="21"/>
        <v>304.89999999999998</v>
      </c>
    </row>
    <row r="140" spans="1:26" ht="45" x14ac:dyDescent="0.25">
      <c r="A140" s="142" t="s">
        <v>1313</v>
      </c>
      <c r="B140">
        <v>38889</v>
      </c>
      <c r="C140" s="121" t="s">
        <v>298</v>
      </c>
      <c r="D140" s="149" t="s">
        <v>229</v>
      </c>
      <c r="E140" s="153">
        <f t="shared" si="22"/>
        <v>0</v>
      </c>
      <c r="F140" s="348">
        <f t="shared" ref="F140:F198" si="25">IF(H140="SINAPI",J140,AVERAGE(J140:P140))</f>
        <v>24.22</v>
      </c>
      <c r="G140" s="343">
        <f t="shared" si="23"/>
        <v>0</v>
      </c>
      <c r="H140" s="6" t="s">
        <v>175</v>
      </c>
      <c r="I140" s="318"/>
      <c r="J140" s="318">
        <v>24.22</v>
      </c>
      <c r="K140" s="318"/>
      <c r="L140" s="318"/>
      <c r="M140" s="318"/>
      <c r="N140" s="318"/>
      <c r="O140" s="318"/>
      <c r="P140" s="318"/>
      <c r="Q140" s="156"/>
      <c r="R140" s="303">
        <f t="shared" si="24"/>
        <v>0</v>
      </c>
      <c r="S140" s="173"/>
      <c r="T140" s="298">
        <f t="shared" si="18"/>
        <v>0</v>
      </c>
      <c r="U140" s="158"/>
      <c r="V140" s="289">
        <f t="shared" si="19"/>
        <v>0</v>
      </c>
      <c r="W140" s="159"/>
      <c r="X140" s="281">
        <f t="shared" si="20"/>
        <v>0</v>
      </c>
      <c r="Y140" s="161"/>
      <c r="Z140" s="271">
        <f t="shared" si="21"/>
        <v>0</v>
      </c>
    </row>
    <row r="141" spans="1:26" ht="45" x14ac:dyDescent="0.25">
      <c r="A141" s="142" t="s">
        <v>1314</v>
      </c>
      <c r="B141">
        <v>38784</v>
      </c>
      <c r="C141" s="121" t="s">
        <v>299</v>
      </c>
      <c r="D141" s="149" t="s">
        <v>229</v>
      </c>
      <c r="E141" s="153">
        <f t="shared" si="22"/>
        <v>0</v>
      </c>
      <c r="F141" s="348">
        <f t="shared" si="25"/>
        <v>32.420999999999999</v>
      </c>
      <c r="G141" s="343">
        <f t="shared" si="23"/>
        <v>0</v>
      </c>
      <c r="H141" s="6" t="s">
        <v>175</v>
      </c>
      <c r="I141" s="318"/>
      <c r="J141" s="318">
        <v>32.420999999999999</v>
      </c>
      <c r="K141" s="318"/>
      <c r="L141" s="318"/>
      <c r="M141" s="318"/>
      <c r="N141" s="318"/>
      <c r="O141" s="318"/>
      <c r="P141" s="318"/>
      <c r="Q141" s="156"/>
      <c r="R141" s="303">
        <f t="shared" si="24"/>
        <v>0</v>
      </c>
      <c r="S141" s="173"/>
      <c r="T141" s="298">
        <f t="shared" si="18"/>
        <v>0</v>
      </c>
      <c r="U141" s="158"/>
      <c r="V141" s="289">
        <f t="shared" si="19"/>
        <v>0</v>
      </c>
      <c r="W141" s="159"/>
      <c r="X141" s="281">
        <f t="shared" si="20"/>
        <v>0</v>
      </c>
      <c r="Y141" s="161"/>
      <c r="Z141" s="271">
        <f t="shared" si="21"/>
        <v>0</v>
      </c>
    </row>
    <row r="142" spans="1:26" ht="45" x14ac:dyDescent="0.25">
      <c r="A142" s="142" t="s">
        <v>1315</v>
      </c>
      <c r="B142">
        <v>3788</v>
      </c>
      <c r="C142" s="121" t="s">
        <v>300</v>
      </c>
      <c r="D142" s="149" t="s">
        <v>229</v>
      </c>
      <c r="E142" s="153">
        <f t="shared" si="22"/>
        <v>65</v>
      </c>
      <c r="F142" s="348">
        <f t="shared" si="25"/>
        <v>33.770000000000003</v>
      </c>
      <c r="G142" s="343">
        <f t="shared" si="23"/>
        <v>2195.0500000000002</v>
      </c>
      <c r="H142" s="6" t="s">
        <v>175</v>
      </c>
      <c r="I142" s="318"/>
      <c r="J142" s="318">
        <v>33.770000000000003</v>
      </c>
      <c r="K142" s="315">
        <v>33</v>
      </c>
      <c r="L142" s="315"/>
      <c r="M142" s="315">
        <v>39.9</v>
      </c>
      <c r="N142" s="315"/>
      <c r="O142" s="315"/>
      <c r="P142" s="315"/>
      <c r="Q142" s="155">
        <v>5</v>
      </c>
      <c r="R142" s="303">
        <f t="shared" si="24"/>
        <v>168.85000000000002</v>
      </c>
      <c r="S142" s="25">
        <v>0</v>
      </c>
      <c r="T142" s="298">
        <f t="shared" si="18"/>
        <v>0</v>
      </c>
      <c r="U142" s="47">
        <v>30</v>
      </c>
      <c r="V142" s="289">
        <f t="shared" si="19"/>
        <v>1013.1000000000001</v>
      </c>
      <c r="W142" s="43">
        <v>0</v>
      </c>
      <c r="X142" s="281">
        <f t="shared" si="20"/>
        <v>0</v>
      </c>
      <c r="Y142" s="37">
        <v>30</v>
      </c>
      <c r="Z142" s="271">
        <f t="shared" si="21"/>
        <v>1013.1000000000001</v>
      </c>
    </row>
    <row r="143" spans="1:26" ht="45" x14ac:dyDescent="0.25">
      <c r="A143" s="142" t="s">
        <v>1316</v>
      </c>
      <c r="B143">
        <v>3803</v>
      </c>
      <c r="C143" s="121" t="s">
        <v>301</v>
      </c>
      <c r="D143" s="149" t="s">
        <v>229</v>
      </c>
      <c r="E143" s="153">
        <f t="shared" si="22"/>
        <v>0</v>
      </c>
      <c r="F143" s="348">
        <f t="shared" si="25"/>
        <v>29.97</v>
      </c>
      <c r="G143" s="343">
        <f t="shared" si="23"/>
        <v>0</v>
      </c>
      <c r="H143" s="6" t="s">
        <v>175</v>
      </c>
      <c r="I143" s="318"/>
      <c r="J143" s="318">
        <v>29.97</v>
      </c>
      <c r="K143" s="318"/>
      <c r="L143" s="318"/>
      <c r="M143" s="318"/>
      <c r="N143" s="318"/>
      <c r="O143" s="318"/>
      <c r="P143" s="318"/>
      <c r="Q143" s="156"/>
      <c r="R143" s="303">
        <f t="shared" si="24"/>
        <v>0</v>
      </c>
      <c r="S143" s="173"/>
      <c r="T143" s="298">
        <f t="shared" si="18"/>
        <v>0</v>
      </c>
      <c r="U143" s="158"/>
      <c r="V143" s="289">
        <f t="shared" si="19"/>
        <v>0</v>
      </c>
      <c r="W143" s="159"/>
      <c r="X143" s="281">
        <f t="shared" si="20"/>
        <v>0</v>
      </c>
      <c r="Y143" s="161"/>
      <c r="Z143" s="271">
        <f t="shared" si="21"/>
        <v>0</v>
      </c>
    </row>
    <row r="144" spans="1:26" ht="45" x14ac:dyDescent="0.25">
      <c r="A144" s="142" t="s">
        <v>1317</v>
      </c>
      <c r="B144">
        <v>12266</v>
      </c>
      <c r="C144" s="121" t="s">
        <v>302</v>
      </c>
      <c r="D144" s="149" t="s">
        <v>229</v>
      </c>
      <c r="E144" s="153">
        <f t="shared" si="22"/>
        <v>0</v>
      </c>
      <c r="F144" s="348">
        <f t="shared" si="25"/>
        <v>52.05</v>
      </c>
      <c r="G144" s="343">
        <f t="shared" si="23"/>
        <v>0</v>
      </c>
      <c r="H144" s="6" t="s">
        <v>175</v>
      </c>
      <c r="I144" s="318"/>
      <c r="J144" s="318">
        <v>52.05</v>
      </c>
      <c r="K144" s="318"/>
      <c r="L144" s="318"/>
      <c r="M144" s="318"/>
      <c r="N144" s="318"/>
      <c r="O144" s="318"/>
      <c r="P144" s="318"/>
      <c r="Q144" s="156"/>
      <c r="R144" s="303">
        <f t="shared" si="24"/>
        <v>0</v>
      </c>
      <c r="S144" s="173"/>
      <c r="T144" s="298">
        <f t="shared" si="18"/>
        <v>0</v>
      </c>
      <c r="U144" s="158"/>
      <c r="V144" s="289">
        <f t="shared" si="19"/>
        <v>0</v>
      </c>
      <c r="W144" s="159"/>
      <c r="X144" s="281">
        <f t="shared" si="20"/>
        <v>0</v>
      </c>
      <c r="Y144" s="161"/>
      <c r="Z144" s="271">
        <f t="shared" si="21"/>
        <v>0</v>
      </c>
    </row>
    <row r="145" spans="1:26" ht="45" x14ac:dyDescent="0.25">
      <c r="A145" s="142" t="s">
        <v>1318</v>
      </c>
      <c r="B145">
        <v>39378</v>
      </c>
      <c r="C145" s="121" t="s">
        <v>303</v>
      </c>
      <c r="D145" s="149" t="s">
        <v>229</v>
      </c>
      <c r="E145" s="153">
        <f t="shared" si="22"/>
        <v>0</v>
      </c>
      <c r="F145" s="348">
        <f t="shared" si="25"/>
        <v>36.9</v>
      </c>
      <c r="G145" s="343">
        <f t="shared" si="23"/>
        <v>0</v>
      </c>
      <c r="H145" s="6" t="s">
        <v>175</v>
      </c>
      <c r="I145" s="318"/>
      <c r="J145" s="318">
        <v>36.9</v>
      </c>
      <c r="K145" s="318"/>
      <c r="L145" s="318"/>
      <c r="M145" s="318"/>
      <c r="N145" s="318"/>
      <c r="O145" s="318"/>
      <c r="P145" s="318"/>
      <c r="Q145" s="156"/>
      <c r="R145" s="303">
        <f t="shared" si="24"/>
        <v>0</v>
      </c>
      <c r="S145" s="173"/>
      <c r="T145" s="298">
        <f t="shared" si="18"/>
        <v>0</v>
      </c>
      <c r="U145" s="158"/>
      <c r="V145" s="289">
        <f t="shared" si="19"/>
        <v>0</v>
      </c>
      <c r="W145" s="159"/>
      <c r="X145" s="281">
        <f t="shared" si="20"/>
        <v>0</v>
      </c>
      <c r="Y145" s="161"/>
      <c r="Z145" s="271">
        <f t="shared" si="21"/>
        <v>0</v>
      </c>
    </row>
    <row r="146" spans="1:26" x14ac:dyDescent="0.25">
      <c r="A146" s="142" t="s">
        <v>1319</v>
      </c>
      <c r="B146" s="55"/>
      <c r="C146" s="131" t="s">
        <v>45</v>
      </c>
      <c r="D146" s="134" t="s">
        <v>1</v>
      </c>
      <c r="E146" s="153">
        <f t="shared" si="22"/>
        <v>135</v>
      </c>
      <c r="F146" s="348">
        <f t="shared" si="25"/>
        <v>0.57150000000000001</v>
      </c>
      <c r="G146" s="343">
        <f t="shared" si="23"/>
        <v>77.152500000000003</v>
      </c>
      <c r="H146" s="152" t="s">
        <v>1110</v>
      </c>
      <c r="I146" s="321">
        <v>0.4</v>
      </c>
      <c r="J146" s="315"/>
      <c r="K146" s="315">
        <v>0.8</v>
      </c>
      <c r="L146" s="315">
        <f>42.9/200</f>
        <v>0.2145</v>
      </c>
      <c r="M146" s="315"/>
      <c r="N146" s="315"/>
      <c r="O146" s="315"/>
      <c r="P146" s="315">
        <v>0.7</v>
      </c>
      <c r="Q146" s="155">
        <v>10</v>
      </c>
      <c r="R146" s="303">
        <f t="shared" si="24"/>
        <v>5.7149999999999999</v>
      </c>
      <c r="S146" s="25">
        <v>0</v>
      </c>
      <c r="T146" s="298">
        <f t="shared" si="18"/>
        <v>0</v>
      </c>
      <c r="U146" s="47">
        <v>25</v>
      </c>
      <c r="V146" s="289">
        <f t="shared" si="19"/>
        <v>14.2875</v>
      </c>
      <c r="W146" s="43">
        <v>50</v>
      </c>
      <c r="X146" s="281">
        <f t="shared" si="20"/>
        <v>28.574999999999999</v>
      </c>
      <c r="Y146" s="37">
        <v>50</v>
      </c>
      <c r="Z146" s="271">
        <f t="shared" si="21"/>
        <v>28.574999999999999</v>
      </c>
    </row>
    <row r="147" spans="1:26" x14ac:dyDescent="0.25">
      <c r="A147" s="142" t="s">
        <v>1320</v>
      </c>
      <c r="B147" s="55"/>
      <c r="C147" s="131" t="s">
        <v>46</v>
      </c>
      <c r="D147" s="134" t="s">
        <v>1</v>
      </c>
      <c r="E147" s="153">
        <f t="shared" si="22"/>
        <v>60</v>
      </c>
      <c r="F147" s="348">
        <f t="shared" si="25"/>
        <v>0.65725000000000011</v>
      </c>
      <c r="G147" s="343">
        <f t="shared" si="23"/>
        <v>39.435000000000002</v>
      </c>
      <c r="H147" s="152" t="s">
        <v>1110</v>
      </c>
      <c r="I147" s="321">
        <v>0.95</v>
      </c>
      <c r="J147" s="315">
        <v>0.81</v>
      </c>
      <c r="K147" s="315">
        <v>0.6</v>
      </c>
      <c r="L147" s="315">
        <f>41.9/100</f>
        <v>0.41899999999999998</v>
      </c>
      <c r="M147" s="315"/>
      <c r="N147" s="315"/>
      <c r="O147" s="315"/>
      <c r="P147" s="315">
        <v>0.8</v>
      </c>
      <c r="Q147" s="155">
        <v>10</v>
      </c>
      <c r="R147" s="303">
        <f t="shared" si="24"/>
        <v>6.5725000000000016</v>
      </c>
      <c r="S147" s="25">
        <v>0</v>
      </c>
      <c r="T147" s="298">
        <f t="shared" ref="T147:T198" si="26">$F147*S147</f>
        <v>0</v>
      </c>
      <c r="U147" s="47">
        <v>0</v>
      </c>
      <c r="V147" s="289">
        <f t="shared" ref="V147:V198" si="27">$F147*U147</f>
        <v>0</v>
      </c>
      <c r="W147" s="43">
        <v>0</v>
      </c>
      <c r="X147" s="281">
        <f t="shared" ref="X147:X198" si="28">$F147*W147</f>
        <v>0</v>
      </c>
      <c r="Y147" s="37">
        <v>50</v>
      </c>
      <c r="Z147" s="271">
        <f t="shared" ref="Z147:Z198" si="29">$F147*Y147</f>
        <v>32.862500000000004</v>
      </c>
    </row>
    <row r="148" spans="1:26" x14ac:dyDescent="0.25">
      <c r="A148" s="142" t="s">
        <v>1321</v>
      </c>
      <c r="B148" s="117"/>
      <c r="C148" s="128" t="s">
        <v>47</v>
      </c>
      <c r="D148" s="134" t="s">
        <v>1</v>
      </c>
      <c r="E148" s="153">
        <f t="shared" si="22"/>
        <v>60</v>
      </c>
      <c r="F148" s="348">
        <f t="shared" si="25"/>
        <v>14.190000000000001</v>
      </c>
      <c r="G148" s="343">
        <f t="shared" si="23"/>
        <v>851.40000000000009</v>
      </c>
      <c r="H148" s="152" t="s">
        <v>1110</v>
      </c>
      <c r="I148" s="321">
        <v>14.68</v>
      </c>
      <c r="J148" s="315"/>
      <c r="K148" s="315"/>
      <c r="L148" s="315">
        <f>141.9/10</f>
        <v>14.190000000000001</v>
      </c>
      <c r="M148" s="315"/>
      <c r="N148" s="315"/>
      <c r="O148" s="315"/>
      <c r="P148" s="315"/>
      <c r="Q148" s="155">
        <v>10</v>
      </c>
      <c r="R148" s="303">
        <f t="shared" si="24"/>
        <v>141.9</v>
      </c>
      <c r="S148" s="25">
        <v>0</v>
      </c>
      <c r="T148" s="298">
        <f t="shared" si="26"/>
        <v>0</v>
      </c>
      <c r="U148" s="47">
        <v>0</v>
      </c>
      <c r="V148" s="289">
        <f t="shared" si="27"/>
        <v>0</v>
      </c>
      <c r="W148" s="43">
        <v>0</v>
      </c>
      <c r="X148" s="281">
        <f t="shared" si="28"/>
        <v>0</v>
      </c>
      <c r="Y148" s="37">
        <v>50</v>
      </c>
      <c r="Z148" s="271">
        <f t="shared" si="29"/>
        <v>709.50000000000011</v>
      </c>
    </row>
    <row r="149" spans="1:26" x14ac:dyDescent="0.25">
      <c r="A149" s="142" t="s">
        <v>1322</v>
      </c>
      <c r="B149" s="55"/>
      <c r="C149" s="128" t="s">
        <v>194</v>
      </c>
      <c r="D149" s="134" t="s">
        <v>1</v>
      </c>
      <c r="E149" s="153">
        <f t="shared" si="22"/>
        <v>120</v>
      </c>
      <c r="F149" s="348">
        <f t="shared" si="25"/>
        <v>7.4524999999999997</v>
      </c>
      <c r="G149" s="343">
        <f t="shared" si="23"/>
        <v>894.3</v>
      </c>
      <c r="H149" s="152" t="s">
        <v>1110</v>
      </c>
      <c r="I149" s="321">
        <v>7.19</v>
      </c>
      <c r="J149" s="315"/>
      <c r="K149" s="315">
        <v>7.37</v>
      </c>
      <c r="L149" s="315">
        <v>8.99</v>
      </c>
      <c r="M149" s="315">
        <v>8.9</v>
      </c>
      <c r="N149" s="315"/>
      <c r="O149" s="315"/>
      <c r="P149" s="315">
        <v>4.55</v>
      </c>
      <c r="Q149" s="155">
        <v>5</v>
      </c>
      <c r="R149" s="303">
        <f t="shared" si="24"/>
        <v>37.262499999999996</v>
      </c>
      <c r="S149" s="25">
        <v>30</v>
      </c>
      <c r="T149" s="298">
        <f t="shared" si="26"/>
        <v>223.57499999999999</v>
      </c>
      <c r="U149" s="47">
        <v>25</v>
      </c>
      <c r="V149" s="289">
        <f t="shared" si="27"/>
        <v>186.3125</v>
      </c>
      <c r="W149" s="43">
        <v>50</v>
      </c>
      <c r="X149" s="281">
        <f t="shared" si="28"/>
        <v>372.625</v>
      </c>
      <c r="Y149" s="37">
        <v>10</v>
      </c>
      <c r="Z149" s="271">
        <f t="shared" si="29"/>
        <v>74.524999999999991</v>
      </c>
    </row>
    <row r="150" spans="1:26" ht="24.75" x14ac:dyDescent="0.25">
      <c r="A150" s="142" t="s">
        <v>1323</v>
      </c>
      <c r="B150" s="55"/>
      <c r="C150" s="133" t="s">
        <v>48</v>
      </c>
      <c r="D150" s="134" t="s">
        <v>1</v>
      </c>
      <c r="E150" s="153">
        <f t="shared" si="22"/>
        <v>30</v>
      </c>
      <c r="F150" s="348">
        <f t="shared" si="25"/>
        <v>60.57</v>
      </c>
      <c r="G150" s="343">
        <f t="shared" si="23"/>
        <v>1817.1</v>
      </c>
      <c r="H150" s="152" t="s">
        <v>1110</v>
      </c>
      <c r="I150" s="321">
        <v>70.48</v>
      </c>
      <c r="J150" s="315"/>
      <c r="K150" s="315">
        <v>71.44</v>
      </c>
      <c r="L150" s="315"/>
      <c r="M150" s="315"/>
      <c r="N150" s="315">
        <v>49.7</v>
      </c>
      <c r="O150" s="315"/>
      <c r="P150" s="315"/>
      <c r="Q150" s="155">
        <v>5</v>
      </c>
      <c r="R150" s="303">
        <f t="shared" si="24"/>
        <v>302.85000000000002</v>
      </c>
      <c r="S150" s="25">
        <v>0</v>
      </c>
      <c r="T150" s="298">
        <f t="shared" si="26"/>
        <v>0</v>
      </c>
      <c r="U150" s="47">
        <v>10</v>
      </c>
      <c r="V150" s="289">
        <f t="shared" si="27"/>
        <v>605.70000000000005</v>
      </c>
      <c r="W150" s="43">
        <v>0</v>
      </c>
      <c r="X150" s="281">
        <f t="shared" si="28"/>
        <v>0</v>
      </c>
      <c r="Y150" s="37">
        <v>15</v>
      </c>
      <c r="Z150" s="271">
        <f t="shared" si="29"/>
        <v>908.55</v>
      </c>
    </row>
    <row r="151" spans="1:26" x14ac:dyDescent="0.25">
      <c r="A151" s="142" t="s">
        <v>1324</v>
      </c>
      <c r="B151" s="55"/>
      <c r="C151" s="131" t="s">
        <v>49</v>
      </c>
      <c r="D151" s="134" t="s">
        <v>1</v>
      </c>
      <c r="E151" s="153">
        <f t="shared" si="22"/>
        <v>180</v>
      </c>
      <c r="F151" s="348">
        <f t="shared" si="25"/>
        <v>4.3099999999999996</v>
      </c>
      <c r="G151" s="343">
        <f t="shared" si="23"/>
        <v>775.8</v>
      </c>
      <c r="H151" s="152" t="s">
        <v>1110</v>
      </c>
      <c r="I151" s="321">
        <v>6.65</v>
      </c>
      <c r="J151" s="315"/>
      <c r="K151" s="315">
        <v>3.32</v>
      </c>
      <c r="L151" s="315"/>
      <c r="M151" s="315"/>
      <c r="N151" s="315">
        <v>3.8</v>
      </c>
      <c r="O151" s="315"/>
      <c r="P151" s="315">
        <v>5.81</v>
      </c>
      <c r="Q151" s="155">
        <v>5</v>
      </c>
      <c r="R151" s="303">
        <f t="shared" si="24"/>
        <v>21.549999999999997</v>
      </c>
      <c r="S151" s="25">
        <v>50</v>
      </c>
      <c r="T151" s="298">
        <f t="shared" si="26"/>
        <v>215.49999999999997</v>
      </c>
      <c r="U151" s="47">
        <v>75</v>
      </c>
      <c r="V151" s="289">
        <f t="shared" si="27"/>
        <v>323.24999999999994</v>
      </c>
      <c r="W151" s="43">
        <v>25</v>
      </c>
      <c r="X151" s="281">
        <f t="shared" si="28"/>
        <v>107.74999999999999</v>
      </c>
      <c r="Y151" s="37">
        <v>25</v>
      </c>
      <c r="Z151" s="271">
        <f t="shared" si="29"/>
        <v>107.74999999999999</v>
      </c>
    </row>
    <row r="152" spans="1:26" x14ac:dyDescent="0.25">
      <c r="A152" s="142" t="s">
        <v>1325</v>
      </c>
      <c r="B152" s="55"/>
      <c r="C152" s="128" t="s">
        <v>50</v>
      </c>
      <c r="D152" s="134" t="s">
        <v>1</v>
      </c>
      <c r="E152" s="153">
        <f t="shared" si="22"/>
        <v>110</v>
      </c>
      <c r="F152" s="348">
        <f t="shared" si="25"/>
        <v>9.68</v>
      </c>
      <c r="G152" s="343">
        <f t="shared" si="23"/>
        <v>1064.8</v>
      </c>
      <c r="H152" s="152" t="s">
        <v>1110</v>
      </c>
      <c r="I152" s="321">
        <v>8.59</v>
      </c>
      <c r="J152" s="315"/>
      <c r="K152" s="315">
        <v>8.58</v>
      </c>
      <c r="L152" s="315">
        <v>11.39</v>
      </c>
      <c r="M152" s="315">
        <v>8.85</v>
      </c>
      <c r="N152" s="315"/>
      <c r="O152" s="315">
        <v>9.9</v>
      </c>
      <c r="P152" s="315"/>
      <c r="Q152" s="155">
        <v>5</v>
      </c>
      <c r="R152" s="303">
        <f t="shared" si="24"/>
        <v>48.4</v>
      </c>
      <c r="S152" s="25">
        <v>30</v>
      </c>
      <c r="T152" s="298">
        <f t="shared" si="26"/>
        <v>290.39999999999998</v>
      </c>
      <c r="U152" s="47">
        <v>25</v>
      </c>
      <c r="V152" s="289">
        <f t="shared" si="27"/>
        <v>242</v>
      </c>
      <c r="W152" s="43">
        <v>25</v>
      </c>
      <c r="X152" s="281">
        <f t="shared" si="28"/>
        <v>242</v>
      </c>
      <c r="Y152" s="37">
        <v>25</v>
      </c>
      <c r="Z152" s="271">
        <f t="shared" si="29"/>
        <v>242</v>
      </c>
    </row>
    <row r="153" spans="1:26" x14ac:dyDescent="0.25">
      <c r="A153" s="142" t="s">
        <v>1326</v>
      </c>
      <c r="B153" s="55"/>
      <c r="C153" s="128" t="s">
        <v>51</v>
      </c>
      <c r="D153" s="134" t="s">
        <v>1</v>
      </c>
      <c r="E153" s="153">
        <f t="shared" si="22"/>
        <v>110</v>
      </c>
      <c r="F153" s="348">
        <f t="shared" si="25"/>
        <v>8.6425000000000001</v>
      </c>
      <c r="G153" s="343">
        <f t="shared" si="23"/>
        <v>950.67499999999995</v>
      </c>
      <c r="H153" s="152" t="s">
        <v>1110</v>
      </c>
      <c r="I153" s="321">
        <v>8.09</v>
      </c>
      <c r="J153" s="315"/>
      <c r="K153" s="315">
        <v>6.18</v>
      </c>
      <c r="L153" s="315">
        <v>8.99</v>
      </c>
      <c r="M153" s="315">
        <v>10.5</v>
      </c>
      <c r="N153" s="315"/>
      <c r="O153" s="315">
        <v>8.9</v>
      </c>
      <c r="P153" s="315"/>
      <c r="Q153" s="155">
        <v>5</v>
      </c>
      <c r="R153" s="303">
        <f t="shared" si="24"/>
        <v>43.212499999999999</v>
      </c>
      <c r="S153" s="25">
        <v>30</v>
      </c>
      <c r="T153" s="298">
        <f t="shared" si="26"/>
        <v>259.27499999999998</v>
      </c>
      <c r="U153" s="47">
        <v>25</v>
      </c>
      <c r="V153" s="289">
        <f t="shared" si="27"/>
        <v>216.0625</v>
      </c>
      <c r="W153" s="43">
        <v>25</v>
      </c>
      <c r="X153" s="281">
        <f t="shared" si="28"/>
        <v>216.0625</v>
      </c>
      <c r="Y153" s="37">
        <v>25</v>
      </c>
      <c r="Z153" s="271">
        <f t="shared" si="29"/>
        <v>216.0625</v>
      </c>
    </row>
    <row r="154" spans="1:26" x14ac:dyDescent="0.25">
      <c r="A154" s="142" t="s">
        <v>1327</v>
      </c>
      <c r="B154" s="117"/>
      <c r="C154" s="128" t="s">
        <v>52</v>
      </c>
      <c r="D154" s="134" t="s">
        <v>1</v>
      </c>
      <c r="E154" s="153">
        <f t="shared" si="22"/>
        <v>100</v>
      </c>
      <c r="F154" s="348">
        <f t="shared" si="25"/>
        <v>6.5133333333333328</v>
      </c>
      <c r="G154" s="343">
        <f t="shared" si="23"/>
        <v>651.33333333333326</v>
      </c>
      <c r="H154" s="152" t="s">
        <v>1110</v>
      </c>
      <c r="I154" s="321">
        <v>6.1</v>
      </c>
      <c r="J154" s="315"/>
      <c r="K154" s="315">
        <v>6</v>
      </c>
      <c r="L154" s="315">
        <v>8.99</v>
      </c>
      <c r="M154" s="315"/>
      <c r="N154" s="315"/>
      <c r="O154" s="315"/>
      <c r="P154" s="315">
        <v>4.55</v>
      </c>
      <c r="Q154" s="155">
        <v>5</v>
      </c>
      <c r="R154" s="303">
        <f t="shared" si="24"/>
        <v>32.566666666666663</v>
      </c>
      <c r="S154" s="25">
        <v>20</v>
      </c>
      <c r="T154" s="298">
        <f t="shared" si="26"/>
        <v>130.26666666666665</v>
      </c>
      <c r="U154" s="47">
        <v>25</v>
      </c>
      <c r="V154" s="289">
        <f t="shared" si="27"/>
        <v>162.83333333333331</v>
      </c>
      <c r="W154" s="43">
        <v>25</v>
      </c>
      <c r="X154" s="281">
        <f t="shared" si="28"/>
        <v>162.83333333333331</v>
      </c>
      <c r="Y154" s="37">
        <v>25</v>
      </c>
      <c r="Z154" s="271">
        <f t="shared" si="29"/>
        <v>162.83333333333331</v>
      </c>
    </row>
    <row r="155" spans="1:26" ht="45" x14ac:dyDescent="0.25">
      <c r="A155" s="142" t="s">
        <v>1328</v>
      </c>
      <c r="B155" s="142">
        <v>13399</v>
      </c>
      <c r="C155" s="143" t="s">
        <v>269</v>
      </c>
      <c r="D155" s="148" t="s">
        <v>229</v>
      </c>
      <c r="E155" s="153">
        <f t="shared" si="22"/>
        <v>0</v>
      </c>
      <c r="F155" s="348">
        <f t="shared" si="25"/>
        <v>22.53</v>
      </c>
      <c r="G155" s="343">
        <f t="shared" si="23"/>
        <v>0</v>
      </c>
      <c r="H155" s="8" t="s">
        <v>175</v>
      </c>
      <c r="I155" s="318"/>
      <c r="J155" s="318">
        <v>22.53</v>
      </c>
      <c r="K155" s="318"/>
      <c r="L155" s="318"/>
      <c r="M155" s="318"/>
      <c r="N155" s="318"/>
      <c r="O155" s="318"/>
      <c r="P155" s="318"/>
      <c r="Q155" s="156"/>
      <c r="R155" s="303">
        <f t="shared" si="24"/>
        <v>0</v>
      </c>
      <c r="S155" s="173"/>
      <c r="T155" s="298">
        <f t="shared" si="26"/>
        <v>0</v>
      </c>
      <c r="U155" s="158"/>
      <c r="V155" s="289">
        <f t="shared" si="27"/>
        <v>0</v>
      </c>
      <c r="W155" s="159"/>
      <c r="X155" s="281">
        <f t="shared" si="28"/>
        <v>0</v>
      </c>
      <c r="Y155" s="161"/>
      <c r="Z155" s="271">
        <f t="shared" si="29"/>
        <v>0</v>
      </c>
    </row>
    <row r="156" spans="1:26" ht="45" x14ac:dyDescent="0.25">
      <c r="A156" s="142" t="s">
        <v>1329</v>
      </c>
      <c r="B156" s="142">
        <v>39764</v>
      </c>
      <c r="C156" s="143" t="s">
        <v>270</v>
      </c>
      <c r="D156" s="148" t="s">
        <v>229</v>
      </c>
      <c r="E156" s="153">
        <f t="shared" si="22"/>
        <v>0</v>
      </c>
      <c r="F156" s="348">
        <f t="shared" si="25"/>
        <v>30.99</v>
      </c>
      <c r="G156" s="343">
        <f t="shared" si="23"/>
        <v>0</v>
      </c>
      <c r="H156" s="8" t="s">
        <v>175</v>
      </c>
      <c r="I156" s="318"/>
      <c r="J156" s="318">
        <v>30.99</v>
      </c>
      <c r="K156" s="318"/>
      <c r="L156" s="318"/>
      <c r="M156" s="318"/>
      <c r="N156" s="318"/>
      <c r="O156" s="318"/>
      <c r="P156" s="318"/>
      <c r="Q156" s="156"/>
      <c r="R156" s="303">
        <f t="shared" si="24"/>
        <v>0</v>
      </c>
      <c r="S156" s="173"/>
      <c r="T156" s="298">
        <f t="shared" si="26"/>
        <v>0</v>
      </c>
      <c r="U156" s="158"/>
      <c r="V156" s="289">
        <f t="shared" si="27"/>
        <v>0</v>
      </c>
      <c r="W156" s="159"/>
      <c r="X156" s="281">
        <f t="shared" si="28"/>
        <v>0</v>
      </c>
      <c r="Y156" s="161"/>
      <c r="Z156" s="271">
        <f t="shared" si="29"/>
        <v>0</v>
      </c>
    </row>
    <row r="157" spans="1:26" ht="30" x14ac:dyDescent="0.25">
      <c r="A157" s="142" t="s">
        <v>1330</v>
      </c>
      <c r="B157">
        <v>39805</v>
      </c>
      <c r="C157" s="143" t="s">
        <v>284</v>
      </c>
      <c r="D157" s="149" t="s">
        <v>229</v>
      </c>
      <c r="E157" s="153">
        <f t="shared" si="22"/>
        <v>0</v>
      </c>
      <c r="F157" s="348">
        <f t="shared" si="25"/>
        <v>89.92</v>
      </c>
      <c r="G157" s="343">
        <f t="shared" si="23"/>
        <v>0</v>
      </c>
      <c r="H157" s="6" t="s">
        <v>175</v>
      </c>
      <c r="I157" s="318"/>
      <c r="J157" s="318">
        <v>89.92</v>
      </c>
      <c r="K157" s="318"/>
      <c r="L157" s="318"/>
      <c r="M157" s="318"/>
      <c r="N157" s="318"/>
      <c r="O157" s="318"/>
      <c r="P157" s="318"/>
      <c r="Q157" s="156"/>
      <c r="R157" s="303">
        <f t="shared" si="24"/>
        <v>0</v>
      </c>
      <c r="S157" s="173"/>
      <c r="T157" s="298">
        <f t="shared" si="26"/>
        <v>0</v>
      </c>
      <c r="U157" s="158"/>
      <c r="V157" s="289">
        <f t="shared" si="27"/>
        <v>0</v>
      </c>
      <c r="W157" s="159"/>
      <c r="X157" s="281">
        <f t="shared" si="28"/>
        <v>0</v>
      </c>
      <c r="Y157" s="161"/>
      <c r="Z157" s="271">
        <f t="shared" si="29"/>
        <v>0</v>
      </c>
    </row>
    <row r="158" spans="1:26" ht="30" x14ac:dyDescent="0.25">
      <c r="A158" s="142" t="s">
        <v>1331</v>
      </c>
      <c r="B158">
        <v>39804</v>
      </c>
      <c r="C158" s="121" t="s">
        <v>285</v>
      </c>
      <c r="D158" s="149" t="s">
        <v>229</v>
      </c>
      <c r="E158" s="153">
        <f t="shared" si="22"/>
        <v>0</v>
      </c>
      <c r="F158" s="348">
        <f t="shared" si="25"/>
        <v>52.8</v>
      </c>
      <c r="G158" s="343">
        <f t="shared" si="23"/>
        <v>0</v>
      </c>
      <c r="H158" s="6" t="s">
        <v>175</v>
      </c>
      <c r="I158" s="318"/>
      <c r="J158" s="318">
        <v>52.8</v>
      </c>
      <c r="K158" s="318"/>
      <c r="L158" s="318"/>
      <c r="M158" s="318"/>
      <c r="N158" s="318"/>
      <c r="O158" s="318"/>
      <c r="P158" s="318"/>
      <c r="Q158" s="156"/>
      <c r="R158" s="303">
        <f t="shared" si="24"/>
        <v>0</v>
      </c>
      <c r="S158" s="173"/>
      <c r="T158" s="298">
        <f t="shared" si="26"/>
        <v>0</v>
      </c>
      <c r="U158" s="158"/>
      <c r="V158" s="289">
        <f t="shared" si="27"/>
        <v>0</v>
      </c>
      <c r="W158" s="159"/>
      <c r="X158" s="281">
        <f t="shared" si="28"/>
        <v>0</v>
      </c>
      <c r="Y158" s="161"/>
      <c r="Z158" s="271">
        <f t="shared" si="29"/>
        <v>0</v>
      </c>
    </row>
    <row r="159" spans="1:26" ht="30" x14ac:dyDescent="0.25">
      <c r="A159" s="142" t="s">
        <v>1332</v>
      </c>
      <c r="B159">
        <v>39794</v>
      </c>
      <c r="C159" s="121" t="s">
        <v>286</v>
      </c>
      <c r="D159" s="149" t="s">
        <v>229</v>
      </c>
      <c r="E159" s="153">
        <f t="shared" si="22"/>
        <v>0</v>
      </c>
      <c r="F159" s="348">
        <f t="shared" si="25"/>
        <v>23.21</v>
      </c>
      <c r="G159" s="343">
        <f t="shared" si="23"/>
        <v>0</v>
      </c>
      <c r="H159" s="6" t="s">
        <v>175</v>
      </c>
      <c r="I159" s="318"/>
      <c r="J159" s="318">
        <v>23.21</v>
      </c>
      <c r="K159" s="318"/>
      <c r="L159" s="318"/>
      <c r="M159" s="318"/>
      <c r="N159" s="318"/>
      <c r="O159" s="318"/>
      <c r="P159" s="318"/>
      <c r="Q159" s="156"/>
      <c r="R159" s="303">
        <f t="shared" si="24"/>
        <v>0</v>
      </c>
      <c r="S159" s="173"/>
      <c r="T159" s="298">
        <f t="shared" si="26"/>
        <v>0</v>
      </c>
      <c r="U159" s="158"/>
      <c r="V159" s="289">
        <f t="shared" si="27"/>
        <v>0</v>
      </c>
      <c r="W159" s="159"/>
      <c r="X159" s="281">
        <f t="shared" si="28"/>
        <v>0</v>
      </c>
      <c r="Y159" s="161"/>
      <c r="Z159" s="271">
        <f t="shared" si="29"/>
        <v>0</v>
      </c>
    </row>
    <row r="160" spans="1:26" ht="30" x14ac:dyDescent="0.25">
      <c r="A160" s="142" t="s">
        <v>1333</v>
      </c>
      <c r="B160">
        <v>39795</v>
      </c>
      <c r="C160" s="121" t="s">
        <v>287</v>
      </c>
      <c r="D160" s="149" t="s">
        <v>229</v>
      </c>
      <c r="E160" s="153">
        <f t="shared" si="22"/>
        <v>0</v>
      </c>
      <c r="F160" s="348">
        <f t="shared" si="25"/>
        <v>36.67</v>
      </c>
      <c r="G160" s="343">
        <f t="shared" si="23"/>
        <v>0</v>
      </c>
      <c r="H160" s="6" t="s">
        <v>175</v>
      </c>
      <c r="I160" s="318"/>
      <c r="J160" s="318">
        <v>36.67</v>
      </c>
      <c r="K160" s="318"/>
      <c r="L160" s="318"/>
      <c r="M160" s="318"/>
      <c r="N160" s="318"/>
      <c r="O160" s="318"/>
      <c r="P160" s="318"/>
      <c r="Q160" s="156"/>
      <c r="R160" s="303">
        <f t="shared" si="24"/>
        <v>0</v>
      </c>
      <c r="S160" s="173"/>
      <c r="T160" s="298">
        <f t="shared" si="26"/>
        <v>0</v>
      </c>
      <c r="U160" s="158"/>
      <c r="V160" s="289">
        <f t="shared" si="27"/>
        <v>0</v>
      </c>
      <c r="W160" s="159"/>
      <c r="X160" s="281">
        <f t="shared" si="28"/>
        <v>0</v>
      </c>
      <c r="Y160" s="161"/>
      <c r="Z160" s="271">
        <f t="shared" si="29"/>
        <v>0</v>
      </c>
    </row>
    <row r="161" spans="1:26" ht="30" x14ac:dyDescent="0.25">
      <c r="A161" s="142" t="s">
        <v>1334</v>
      </c>
      <c r="B161">
        <v>39799</v>
      </c>
      <c r="C161" s="121" t="s">
        <v>288</v>
      </c>
      <c r="D161" s="149" t="s">
        <v>229</v>
      </c>
      <c r="E161" s="153">
        <f t="shared" si="22"/>
        <v>0</v>
      </c>
      <c r="F161" s="348">
        <f t="shared" si="25"/>
        <v>27.06</v>
      </c>
      <c r="G161" s="343">
        <f t="shared" si="23"/>
        <v>0</v>
      </c>
      <c r="H161" s="6" t="s">
        <v>175</v>
      </c>
      <c r="I161" s="318"/>
      <c r="J161" s="318">
        <v>27.06</v>
      </c>
      <c r="K161" s="318"/>
      <c r="L161" s="318"/>
      <c r="M161" s="318"/>
      <c r="N161" s="318"/>
      <c r="O161" s="318"/>
      <c r="P161" s="318"/>
      <c r="Q161" s="156"/>
      <c r="R161" s="303">
        <f t="shared" si="24"/>
        <v>0</v>
      </c>
      <c r="S161" s="173"/>
      <c r="T161" s="298">
        <f t="shared" si="26"/>
        <v>0</v>
      </c>
      <c r="U161" s="158"/>
      <c r="V161" s="289">
        <f t="shared" si="27"/>
        <v>0</v>
      </c>
      <c r="W161" s="159"/>
      <c r="X161" s="281">
        <f t="shared" si="28"/>
        <v>0</v>
      </c>
      <c r="Y161" s="161"/>
      <c r="Z161" s="271">
        <f t="shared" si="29"/>
        <v>0</v>
      </c>
    </row>
    <row r="162" spans="1:26" ht="30" x14ac:dyDescent="0.25">
      <c r="A162" s="142" t="s">
        <v>1335</v>
      </c>
      <c r="B162">
        <v>39800</v>
      </c>
      <c r="C162" s="121" t="s">
        <v>289</v>
      </c>
      <c r="D162" s="149" t="s">
        <v>229</v>
      </c>
      <c r="E162" s="153">
        <f t="shared" si="22"/>
        <v>45</v>
      </c>
      <c r="F162" s="348">
        <f t="shared" si="25"/>
        <v>46.09</v>
      </c>
      <c r="G162" s="343">
        <f t="shared" si="23"/>
        <v>2074.0500000000002</v>
      </c>
      <c r="H162" s="6" t="s">
        <v>175</v>
      </c>
      <c r="I162" s="321"/>
      <c r="J162" s="315">
        <v>46.09</v>
      </c>
      <c r="K162" s="315">
        <v>60</v>
      </c>
      <c r="L162" s="315"/>
      <c r="M162" s="315"/>
      <c r="N162" s="315"/>
      <c r="O162" s="315">
        <v>58.9</v>
      </c>
      <c r="P162" s="315">
        <v>32.67</v>
      </c>
      <c r="Q162" s="155">
        <v>5</v>
      </c>
      <c r="R162" s="303">
        <f t="shared" si="24"/>
        <v>230.45000000000002</v>
      </c>
      <c r="S162" s="25">
        <v>5</v>
      </c>
      <c r="T162" s="298">
        <f t="shared" si="26"/>
        <v>230.45000000000002</v>
      </c>
      <c r="U162" s="47">
        <v>20</v>
      </c>
      <c r="V162" s="289">
        <f t="shared" si="27"/>
        <v>921.80000000000007</v>
      </c>
      <c r="W162" s="43">
        <v>0</v>
      </c>
      <c r="X162" s="281">
        <f t="shared" si="28"/>
        <v>0</v>
      </c>
      <c r="Y162" s="37">
        <v>15</v>
      </c>
      <c r="Z162" s="271">
        <f t="shared" si="29"/>
        <v>691.35</v>
      </c>
    </row>
    <row r="163" spans="1:26" x14ac:dyDescent="0.25">
      <c r="A163" s="142" t="s">
        <v>1336</v>
      </c>
      <c r="B163" s="55"/>
      <c r="C163" s="132" t="s">
        <v>206</v>
      </c>
      <c r="D163" s="56" t="s">
        <v>187</v>
      </c>
      <c r="E163" s="153">
        <f t="shared" si="22"/>
        <v>24</v>
      </c>
      <c r="F163" s="348">
        <f t="shared" si="25"/>
        <v>2.89</v>
      </c>
      <c r="G163" s="343">
        <f t="shared" si="23"/>
        <v>69.36</v>
      </c>
      <c r="H163" s="152" t="s">
        <v>1110</v>
      </c>
      <c r="I163" s="322"/>
      <c r="J163" s="322"/>
      <c r="K163" s="322"/>
      <c r="L163" s="315"/>
      <c r="M163" s="315"/>
      <c r="N163" s="315">
        <v>2.89</v>
      </c>
      <c r="O163" s="315"/>
      <c r="P163" s="315"/>
      <c r="Q163" s="171">
        <v>6</v>
      </c>
      <c r="R163" s="303">
        <f t="shared" si="24"/>
        <v>17.34</v>
      </c>
      <c r="S163" s="108">
        <v>6</v>
      </c>
      <c r="T163" s="298">
        <f t="shared" si="26"/>
        <v>17.34</v>
      </c>
      <c r="U163" s="115">
        <v>6</v>
      </c>
      <c r="V163" s="289">
        <f t="shared" si="27"/>
        <v>17.34</v>
      </c>
      <c r="W163" s="112"/>
      <c r="X163" s="281">
        <f t="shared" si="28"/>
        <v>0</v>
      </c>
      <c r="Y163" s="111">
        <v>6</v>
      </c>
      <c r="Z163" s="271">
        <f t="shared" si="29"/>
        <v>17.34</v>
      </c>
    </row>
    <row r="164" spans="1:26" x14ac:dyDescent="0.25">
      <c r="A164" s="142" t="s">
        <v>1337</v>
      </c>
      <c r="B164" s="55"/>
      <c r="C164" s="132" t="s">
        <v>185</v>
      </c>
      <c r="D164" s="56" t="s">
        <v>187</v>
      </c>
      <c r="E164" s="153">
        <f t="shared" si="22"/>
        <v>24</v>
      </c>
      <c r="F164" s="348">
        <f t="shared" si="25"/>
        <v>5.74</v>
      </c>
      <c r="G164" s="343">
        <f t="shared" si="23"/>
        <v>137.76</v>
      </c>
      <c r="H164" s="152" t="s">
        <v>1110</v>
      </c>
      <c r="I164" s="322"/>
      <c r="J164" s="322"/>
      <c r="K164" s="322"/>
      <c r="L164" s="315"/>
      <c r="M164" s="315"/>
      <c r="N164" s="315">
        <v>5.74</v>
      </c>
      <c r="O164" s="315"/>
      <c r="P164" s="315"/>
      <c r="Q164" s="171">
        <v>6</v>
      </c>
      <c r="R164" s="303">
        <f t="shared" si="24"/>
        <v>34.44</v>
      </c>
      <c r="S164" s="108">
        <v>6</v>
      </c>
      <c r="T164" s="298">
        <f t="shared" si="26"/>
        <v>34.44</v>
      </c>
      <c r="U164" s="115">
        <v>6</v>
      </c>
      <c r="V164" s="289">
        <f t="shared" si="27"/>
        <v>34.44</v>
      </c>
      <c r="W164" s="113"/>
      <c r="X164" s="281">
        <f t="shared" si="28"/>
        <v>0</v>
      </c>
      <c r="Y164" s="111">
        <v>6</v>
      </c>
      <c r="Z164" s="271">
        <f t="shared" si="29"/>
        <v>34.44</v>
      </c>
    </row>
    <row r="165" spans="1:26" x14ac:dyDescent="0.25">
      <c r="A165" s="142" t="s">
        <v>1338</v>
      </c>
      <c r="B165" s="55"/>
      <c r="C165" s="128" t="s">
        <v>53</v>
      </c>
      <c r="D165" s="134" t="s">
        <v>1</v>
      </c>
      <c r="E165" s="153">
        <f t="shared" si="22"/>
        <v>35</v>
      </c>
      <c r="F165" s="348">
        <f t="shared" si="25"/>
        <v>59.105000000000004</v>
      </c>
      <c r="G165" s="343">
        <f t="shared" si="23"/>
        <v>2068.6750000000002</v>
      </c>
      <c r="H165" s="152" t="s">
        <v>1110</v>
      </c>
      <c r="I165" s="321">
        <v>58</v>
      </c>
      <c r="J165" s="315"/>
      <c r="K165" s="315">
        <v>80</v>
      </c>
      <c r="L165" s="315"/>
      <c r="M165" s="315"/>
      <c r="N165" s="315">
        <v>38.21</v>
      </c>
      <c r="O165" s="315"/>
      <c r="P165" s="315"/>
      <c r="Q165" s="155">
        <v>5</v>
      </c>
      <c r="R165" s="303">
        <f t="shared" si="24"/>
        <v>295.52500000000003</v>
      </c>
      <c r="S165" s="25">
        <v>0</v>
      </c>
      <c r="T165" s="298">
        <f t="shared" si="26"/>
        <v>0</v>
      </c>
      <c r="U165" s="47">
        <v>15</v>
      </c>
      <c r="V165" s="289">
        <f t="shared" si="27"/>
        <v>886.57500000000005</v>
      </c>
      <c r="W165" s="43">
        <v>0</v>
      </c>
      <c r="X165" s="281">
        <f t="shared" si="28"/>
        <v>0</v>
      </c>
      <c r="Y165" s="37">
        <v>15</v>
      </c>
      <c r="Z165" s="271">
        <f t="shared" si="29"/>
        <v>886.57500000000005</v>
      </c>
    </row>
    <row r="166" spans="1:26" x14ac:dyDescent="0.25">
      <c r="A166" s="142" t="s">
        <v>1339</v>
      </c>
      <c r="B166" s="117"/>
      <c r="C166" s="132" t="s">
        <v>183</v>
      </c>
      <c r="D166" s="56" t="s">
        <v>187</v>
      </c>
      <c r="E166" s="153">
        <f t="shared" si="22"/>
        <v>2</v>
      </c>
      <c r="F166" s="348">
        <f t="shared" si="25"/>
        <v>56.605000000000004</v>
      </c>
      <c r="G166" s="343">
        <f t="shared" si="23"/>
        <v>113.21000000000001</v>
      </c>
      <c r="H166" s="152" t="s">
        <v>1110</v>
      </c>
      <c r="I166" s="322"/>
      <c r="J166" s="322"/>
      <c r="K166" s="322"/>
      <c r="L166" s="315"/>
      <c r="M166" s="315">
        <v>44.21</v>
      </c>
      <c r="N166" s="315">
        <v>69</v>
      </c>
      <c r="O166" s="315"/>
      <c r="P166" s="315"/>
      <c r="Q166" s="155">
        <v>2</v>
      </c>
      <c r="R166" s="303">
        <f t="shared" si="24"/>
        <v>113.21000000000001</v>
      </c>
      <c r="S166" s="175"/>
      <c r="T166" s="298">
        <f t="shared" si="26"/>
        <v>0</v>
      </c>
      <c r="U166" s="114"/>
      <c r="V166" s="289">
        <f t="shared" si="27"/>
        <v>0</v>
      </c>
      <c r="W166" s="112"/>
      <c r="X166" s="281">
        <f t="shared" si="28"/>
        <v>0</v>
      </c>
      <c r="Y166" s="110"/>
      <c r="Z166" s="271">
        <f t="shared" si="29"/>
        <v>0</v>
      </c>
    </row>
    <row r="167" spans="1:26" s="6" customFormat="1" x14ac:dyDescent="0.25">
      <c r="A167" s="142" t="s">
        <v>1340</v>
      </c>
      <c r="B167" s="33"/>
      <c r="C167" s="22" t="s">
        <v>184</v>
      </c>
      <c r="D167" s="4" t="s">
        <v>187</v>
      </c>
      <c r="E167" s="153">
        <f t="shared" si="22"/>
        <v>2</v>
      </c>
      <c r="F167" s="348">
        <f t="shared" si="25"/>
        <v>150.04666666666665</v>
      </c>
      <c r="G167" s="343">
        <f t="shared" si="23"/>
        <v>300.09333333333331</v>
      </c>
      <c r="H167" s="152" t="s">
        <v>1110</v>
      </c>
      <c r="I167" s="322"/>
      <c r="J167" s="322"/>
      <c r="K167" s="322"/>
      <c r="L167" s="315">
        <v>129.9</v>
      </c>
      <c r="M167" s="315">
        <v>254.34</v>
      </c>
      <c r="N167" s="315">
        <v>65.900000000000006</v>
      </c>
      <c r="O167" s="315"/>
      <c r="P167" s="315"/>
      <c r="Q167" s="155">
        <v>2</v>
      </c>
      <c r="R167" s="303">
        <f t="shared" si="24"/>
        <v>300.09333333333331</v>
      </c>
      <c r="S167" s="175"/>
      <c r="T167" s="298">
        <f t="shared" si="26"/>
        <v>0</v>
      </c>
      <c r="U167" s="114"/>
      <c r="V167" s="289">
        <f t="shared" si="27"/>
        <v>0</v>
      </c>
      <c r="W167" s="112"/>
      <c r="X167" s="281">
        <f t="shared" si="28"/>
        <v>0</v>
      </c>
      <c r="Y167" s="110"/>
      <c r="Z167" s="271">
        <f t="shared" si="29"/>
        <v>0</v>
      </c>
    </row>
    <row r="168" spans="1:26" s="6" customFormat="1" x14ac:dyDescent="0.25">
      <c r="A168" s="142" t="s">
        <v>1341</v>
      </c>
      <c r="B168" s="33"/>
      <c r="C168" s="20" t="s">
        <v>54</v>
      </c>
      <c r="D168" s="1" t="s">
        <v>1</v>
      </c>
      <c r="E168" s="153">
        <f t="shared" si="22"/>
        <v>60</v>
      </c>
      <c r="F168" s="348">
        <f t="shared" si="25"/>
        <v>40.68</v>
      </c>
      <c r="G168" s="343">
        <f t="shared" si="23"/>
        <v>2440.8000000000002</v>
      </c>
      <c r="H168" s="152" t="s">
        <v>1110</v>
      </c>
      <c r="I168" s="321">
        <v>40.19</v>
      </c>
      <c r="J168" s="315"/>
      <c r="K168" s="315">
        <v>34.24</v>
      </c>
      <c r="L168" s="315">
        <v>41.9</v>
      </c>
      <c r="M168" s="315">
        <v>45.9</v>
      </c>
      <c r="N168" s="315"/>
      <c r="O168" s="315"/>
      <c r="P168" s="315"/>
      <c r="Q168" s="155">
        <v>5</v>
      </c>
      <c r="R168" s="303">
        <f t="shared" si="24"/>
        <v>203.4</v>
      </c>
      <c r="S168" s="25">
        <v>20</v>
      </c>
      <c r="T168" s="298">
        <f t="shared" si="26"/>
        <v>813.6</v>
      </c>
      <c r="U168" s="47">
        <v>25</v>
      </c>
      <c r="V168" s="289">
        <f t="shared" si="27"/>
        <v>1017</v>
      </c>
      <c r="W168" s="43">
        <v>5</v>
      </c>
      <c r="X168" s="281">
        <f t="shared" si="28"/>
        <v>203.4</v>
      </c>
      <c r="Y168" s="37">
        <v>5</v>
      </c>
      <c r="Z168" s="271">
        <f t="shared" si="29"/>
        <v>203.4</v>
      </c>
    </row>
    <row r="169" spans="1:26" s="7" customFormat="1" x14ac:dyDescent="0.25">
      <c r="A169" s="142" t="s">
        <v>1342</v>
      </c>
      <c r="B169" s="33"/>
      <c r="C169" s="21" t="s">
        <v>55</v>
      </c>
      <c r="D169" s="1" t="s">
        <v>1</v>
      </c>
      <c r="E169" s="153">
        <f t="shared" si="22"/>
        <v>40</v>
      </c>
      <c r="F169" s="348">
        <f t="shared" si="25"/>
        <v>23.655999999999999</v>
      </c>
      <c r="G169" s="343">
        <f t="shared" si="23"/>
        <v>946.24</v>
      </c>
      <c r="H169" s="152" t="s">
        <v>1110</v>
      </c>
      <c r="I169" s="321">
        <v>28.8</v>
      </c>
      <c r="J169" s="315">
        <v>16.39</v>
      </c>
      <c r="K169" s="315">
        <v>32.19</v>
      </c>
      <c r="L169" s="315">
        <v>23.5</v>
      </c>
      <c r="M169" s="315"/>
      <c r="N169" s="315">
        <v>20.48</v>
      </c>
      <c r="O169" s="315"/>
      <c r="P169" s="315">
        <v>25.72</v>
      </c>
      <c r="Q169" s="155">
        <v>10</v>
      </c>
      <c r="R169" s="303">
        <f t="shared" si="24"/>
        <v>236.56</v>
      </c>
      <c r="S169" s="25">
        <v>5</v>
      </c>
      <c r="T169" s="298">
        <f t="shared" si="26"/>
        <v>118.28</v>
      </c>
      <c r="U169" s="47">
        <v>0</v>
      </c>
      <c r="V169" s="289">
        <f t="shared" si="27"/>
        <v>0</v>
      </c>
      <c r="W169" s="43">
        <v>0</v>
      </c>
      <c r="X169" s="281">
        <f t="shared" si="28"/>
        <v>0</v>
      </c>
      <c r="Y169" s="37">
        <v>25</v>
      </c>
      <c r="Z169" s="271">
        <f t="shared" si="29"/>
        <v>591.4</v>
      </c>
    </row>
    <row r="170" spans="1:26" s="7" customFormat="1" ht="45" x14ac:dyDescent="0.25">
      <c r="A170" s="142" t="s">
        <v>1343</v>
      </c>
      <c r="B170" s="125">
        <v>39396</v>
      </c>
      <c r="C170" s="127" t="s">
        <v>304</v>
      </c>
      <c r="D170" s="150" t="s">
        <v>229</v>
      </c>
      <c r="E170" s="153">
        <f t="shared" si="22"/>
        <v>0</v>
      </c>
      <c r="F170" s="348">
        <f t="shared" si="25"/>
        <v>33.630000000000003</v>
      </c>
      <c r="G170" s="343">
        <f t="shared" si="23"/>
        <v>0</v>
      </c>
      <c r="H170" s="225" t="s">
        <v>175</v>
      </c>
      <c r="I170" s="318"/>
      <c r="J170" s="318">
        <v>33.630000000000003</v>
      </c>
      <c r="K170" s="318"/>
      <c r="L170" s="318"/>
      <c r="M170" s="318"/>
      <c r="N170" s="318"/>
      <c r="O170" s="318"/>
      <c r="P170" s="318"/>
      <c r="Q170" s="156"/>
      <c r="R170" s="303">
        <f t="shared" si="24"/>
        <v>0</v>
      </c>
      <c r="S170" s="173"/>
      <c r="T170" s="298">
        <f t="shared" si="26"/>
        <v>0</v>
      </c>
      <c r="U170" s="158"/>
      <c r="V170" s="289">
        <f t="shared" si="27"/>
        <v>0</v>
      </c>
      <c r="W170" s="159"/>
      <c r="X170" s="281">
        <f t="shared" si="28"/>
        <v>0</v>
      </c>
      <c r="Y170" s="161"/>
      <c r="Z170" s="271">
        <f t="shared" si="29"/>
        <v>0</v>
      </c>
    </row>
    <row r="171" spans="1:26" s="7" customFormat="1" ht="45" x14ac:dyDescent="0.25">
      <c r="A171" s="142" t="s">
        <v>1344</v>
      </c>
      <c r="B171" s="125">
        <v>39392</v>
      </c>
      <c r="C171" s="127" t="s">
        <v>305</v>
      </c>
      <c r="D171" s="150" t="s">
        <v>229</v>
      </c>
      <c r="E171" s="153">
        <f t="shared" si="22"/>
        <v>0</v>
      </c>
      <c r="F171" s="348">
        <f t="shared" si="25"/>
        <v>37.93</v>
      </c>
      <c r="G171" s="343">
        <f t="shared" si="23"/>
        <v>0</v>
      </c>
      <c r="H171" s="225" t="s">
        <v>175</v>
      </c>
      <c r="I171" s="318"/>
      <c r="J171" s="318">
        <v>37.93</v>
      </c>
      <c r="K171" s="318"/>
      <c r="L171" s="318"/>
      <c r="M171" s="318"/>
      <c r="N171" s="318"/>
      <c r="O171" s="318"/>
      <c r="P171" s="318"/>
      <c r="Q171" s="156"/>
      <c r="R171" s="303">
        <f t="shared" si="24"/>
        <v>0</v>
      </c>
      <c r="S171" s="173"/>
      <c r="T171" s="298">
        <f t="shared" si="26"/>
        <v>0</v>
      </c>
      <c r="U171" s="158"/>
      <c r="V171" s="289">
        <f t="shared" si="27"/>
        <v>0</v>
      </c>
      <c r="W171" s="159"/>
      <c r="X171" s="281">
        <f t="shared" si="28"/>
        <v>0</v>
      </c>
      <c r="Y171" s="161"/>
      <c r="Z171" s="271">
        <f t="shared" si="29"/>
        <v>0</v>
      </c>
    </row>
    <row r="172" spans="1:26" s="7" customFormat="1" ht="45" x14ac:dyDescent="0.25">
      <c r="A172" s="142" t="s">
        <v>1345</v>
      </c>
      <c r="B172" s="125">
        <v>39393</v>
      </c>
      <c r="C172" s="127" t="s">
        <v>306</v>
      </c>
      <c r="D172" s="150" t="s">
        <v>229</v>
      </c>
      <c r="E172" s="153">
        <f t="shared" si="22"/>
        <v>0</v>
      </c>
      <c r="F172" s="348">
        <f t="shared" si="25"/>
        <v>23.46</v>
      </c>
      <c r="G172" s="343">
        <f t="shared" si="23"/>
        <v>0</v>
      </c>
      <c r="H172" s="225" t="s">
        <v>175</v>
      </c>
      <c r="I172" s="318"/>
      <c r="J172" s="318">
        <v>23.46</v>
      </c>
      <c r="K172" s="318"/>
      <c r="L172" s="318"/>
      <c r="M172" s="318"/>
      <c r="N172" s="318"/>
      <c r="O172" s="318"/>
      <c r="P172" s="318"/>
      <c r="Q172" s="156"/>
      <c r="R172" s="303">
        <f t="shared" si="24"/>
        <v>0</v>
      </c>
      <c r="S172" s="173"/>
      <c r="T172" s="298">
        <f t="shared" si="26"/>
        <v>0</v>
      </c>
      <c r="U172" s="158"/>
      <c r="V172" s="289">
        <f t="shared" si="27"/>
        <v>0</v>
      </c>
      <c r="W172" s="159"/>
      <c r="X172" s="281">
        <f t="shared" si="28"/>
        <v>0</v>
      </c>
      <c r="Y172" s="161"/>
      <c r="Z172" s="271">
        <f t="shared" si="29"/>
        <v>0</v>
      </c>
    </row>
    <row r="173" spans="1:26" s="7" customFormat="1" ht="45" x14ac:dyDescent="0.25">
      <c r="A173" s="142" t="s">
        <v>1346</v>
      </c>
      <c r="B173" s="125">
        <v>39394</v>
      </c>
      <c r="C173" s="127" t="s">
        <v>307</v>
      </c>
      <c r="D173" s="150" t="s">
        <v>229</v>
      </c>
      <c r="E173" s="153">
        <f t="shared" si="22"/>
        <v>42</v>
      </c>
      <c r="F173" s="348">
        <f t="shared" si="25"/>
        <v>25.2</v>
      </c>
      <c r="G173" s="343">
        <f t="shared" si="23"/>
        <v>1058.4000000000001</v>
      </c>
      <c r="H173" s="225" t="s">
        <v>175</v>
      </c>
      <c r="I173" s="321"/>
      <c r="J173" s="315">
        <v>25.2</v>
      </c>
      <c r="K173" s="315">
        <v>54.4</v>
      </c>
      <c r="L173" s="315"/>
      <c r="M173" s="315">
        <v>49.9</v>
      </c>
      <c r="N173" s="315">
        <v>32.5</v>
      </c>
      <c r="O173" s="315"/>
      <c r="P173" s="315"/>
      <c r="Q173" s="155">
        <v>2</v>
      </c>
      <c r="R173" s="303">
        <f t="shared" si="24"/>
        <v>50.4</v>
      </c>
      <c r="S173" s="25">
        <v>5</v>
      </c>
      <c r="T173" s="298">
        <f t="shared" si="26"/>
        <v>126</v>
      </c>
      <c r="U173" s="47">
        <v>15</v>
      </c>
      <c r="V173" s="289">
        <f t="shared" si="27"/>
        <v>378</v>
      </c>
      <c r="W173" s="43">
        <v>0</v>
      </c>
      <c r="X173" s="281">
        <f t="shared" si="28"/>
        <v>0</v>
      </c>
      <c r="Y173" s="37">
        <v>20</v>
      </c>
      <c r="Z173" s="271">
        <f t="shared" si="29"/>
        <v>504</v>
      </c>
    </row>
    <row r="174" spans="1:26" s="6" customFormat="1" ht="45" x14ac:dyDescent="0.25">
      <c r="A174" s="142" t="s">
        <v>1347</v>
      </c>
      <c r="B174" s="125">
        <v>39395</v>
      </c>
      <c r="C174" s="127" t="s">
        <v>308</v>
      </c>
      <c r="D174" s="150" t="s">
        <v>229</v>
      </c>
      <c r="E174" s="153">
        <f t="shared" si="22"/>
        <v>0</v>
      </c>
      <c r="F174" s="348">
        <f t="shared" si="25"/>
        <v>24.55</v>
      </c>
      <c r="G174" s="343">
        <f t="shared" si="23"/>
        <v>0</v>
      </c>
      <c r="H174" s="225" t="s">
        <v>175</v>
      </c>
      <c r="I174" s="318"/>
      <c r="J174" s="318">
        <v>24.55</v>
      </c>
      <c r="K174" s="318"/>
      <c r="L174" s="318"/>
      <c r="M174" s="318"/>
      <c r="N174" s="318"/>
      <c r="O174" s="318"/>
      <c r="P174" s="318"/>
      <c r="Q174" s="156"/>
      <c r="R174" s="303">
        <f t="shared" si="24"/>
        <v>0</v>
      </c>
      <c r="S174" s="173"/>
      <c r="T174" s="298">
        <f t="shared" si="26"/>
        <v>0</v>
      </c>
      <c r="U174" s="158"/>
      <c r="V174" s="289">
        <f t="shared" si="27"/>
        <v>0</v>
      </c>
      <c r="W174" s="159"/>
      <c r="X174" s="281">
        <f t="shared" si="28"/>
        <v>0</v>
      </c>
      <c r="Y174" s="161"/>
      <c r="Z174" s="271">
        <f t="shared" si="29"/>
        <v>0</v>
      </c>
    </row>
    <row r="175" spans="1:26" s="6" customFormat="1" ht="30" x14ac:dyDescent="0.25">
      <c r="A175" s="142" t="s">
        <v>1348</v>
      </c>
      <c r="B175" s="125">
        <v>12296</v>
      </c>
      <c r="C175" s="127" t="s">
        <v>309</v>
      </c>
      <c r="D175" s="150" t="s">
        <v>229</v>
      </c>
      <c r="E175" s="153">
        <f t="shared" si="22"/>
        <v>0</v>
      </c>
      <c r="F175" s="348">
        <f t="shared" si="25"/>
        <v>3.97</v>
      </c>
      <c r="G175" s="343">
        <f t="shared" si="23"/>
        <v>0</v>
      </c>
      <c r="H175" s="225" t="s">
        <v>175</v>
      </c>
      <c r="I175" s="318"/>
      <c r="J175" s="318">
        <v>3.97</v>
      </c>
      <c r="K175" s="318"/>
      <c r="L175" s="318"/>
      <c r="M175" s="318"/>
      <c r="N175" s="318"/>
      <c r="O175" s="318"/>
      <c r="P175" s="318"/>
      <c r="Q175" s="156"/>
      <c r="R175" s="303">
        <f t="shared" si="24"/>
        <v>0</v>
      </c>
      <c r="S175" s="173"/>
      <c r="T175" s="298">
        <f t="shared" si="26"/>
        <v>0</v>
      </c>
      <c r="U175" s="158"/>
      <c r="V175" s="289">
        <f t="shared" si="27"/>
        <v>0</v>
      </c>
      <c r="W175" s="159"/>
      <c r="X175" s="281">
        <f t="shared" si="28"/>
        <v>0</v>
      </c>
      <c r="Y175" s="161"/>
      <c r="Z175" s="271">
        <f t="shared" si="29"/>
        <v>0</v>
      </c>
    </row>
    <row r="176" spans="1:26" s="6" customFormat="1" ht="30" x14ac:dyDescent="0.25">
      <c r="A176" s="142" t="s">
        <v>1349</v>
      </c>
      <c r="B176" s="125">
        <v>12294</v>
      </c>
      <c r="C176" s="127" t="s">
        <v>310</v>
      </c>
      <c r="D176" s="150" t="s">
        <v>229</v>
      </c>
      <c r="E176" s="153">
        <f t="shared" si="22"/>
        <v>0</v>
      </c>
      <c r="F176" s="348">
        <f t="shared" si="25"/>
        <v>9.5399999999999991</v>
      </c>
      <c r="G176" s="343">
        <f t="shared" si="23"/>
        <v>0</v>
      </c>
      <c r="H176" s="225" t="s">
        <v>175</v>
      </c>
      <c r="I176" s="318"/>
      <c r="J176" s="318">
        <v>9.5399999999999991</v>
      </c>
      <c r="K176" s="318"/>
      <c r="L176" s="318"/>
      <c r="M176" s="318"/>
      <c r="N176" s="318"/>
      <c r="O176" s="318"/>
      <c r="P176" s="318"/>
      <c r="Q176" s="156"/>
      <c r="R176" s="303">
        <f t="shared" si="24"/>
        <v>0</v>
      </c>
      <c r="S176" s="173"/>
      <c r="T176" s="298">
        <f t="shared" si="26"/>
        <v>0</v>
      </c>
      <c r="U176" s="158"/>
      <c r="V176" s="289">
        <f t="shared" si="27"/>
        <v>0</v>
      </c>
      <c r="W176" s="159"/>
      <c r="X176" s="281">
        <f t="shared" si="28"/>
        <v>0</v>
      </c>
      <c r="Y176" s="161"/>
      <c r="Z176" s="271">
        <f t="shared" si="29"/>
        <v>0</v>
      </c>
    </row>
    <row r="177" spans="1:26" s="6" customFormat="1" ht="30" x14ac:dyDescent="0.25">
      <c r="A177" s="142" t="s">
        <v>1350</v>
      </c>
      <c r="B177" s="125">
        <v>14543</v>
      </c>
      <c r="C177" s="127" t="s">
        <v>311</v>
      </c>
      <c r="D177" s="150" t="s">
        <v>229</v>
      </c>
      <c r="E177" s="153">
        <f t="shared" si="22"/>
        <v>0</v>
      </c>
      <c r="F177" s="348">
        <f t="shared" si="25"/>
        <v>6.81</v>
      </c>
      <c r="G177" s="343">
        <f t="shared" si="23"/>
        <v>0</v>
      </c>
      <c r="H177" s="225" t="s">
        <v>175</v>
      </c>
      <c r="I177" s="318"/>
      <c r="J177" s="318">
        <v>6.81</v>
      </c>
      <c r="K177" s="318"/>
      <c r="L177" s="318"/>
      <c r="M177" s="318"/>
      <c r="N177" s="318"/>
      <c r="O177" s="318"/>
      <c r="P177" s="318"/>
      <c r="Q177" s="156"/>
      <c r="R177" s="303">
        <f t="shared" si="24"/>
        <v>0</v>
      </c>
      <c r="S177" s="173"/>
      <c r="T177" s="298">
        <f t="shared" si="26"/>
        <v>0</v>
      </c>
      <c r="U177" s="158"/>
      <c r="V177" s="289">
        <f t="shared" si="27"/>
        <v>0</v>
      </c>
      <c r="W177" s="159"/>
      <c r="X177" s="281">
        <f t="shared" si="28"/>
        <v>0</v>
      </c>
      <c r="Y177" s="161"/>
      <c r="Z177" s="271">
        <f t="shared" si="29"/>
        <v>0</v>
      </c>
    </row>
    <row r="178" spans="1:26" s="6" customFormat="1" ht="45" x14ac:dyDescent="0.25">
      <c r="A178" s="142" t="s">
        <v>1351</v>
      </c>
      <c r="B178" s="125">
        <v>38099</v>
      </c>
      <c r="C178" s="127" t="s">
        <v>325</v>
      </c>
      <c r="D178" s="150" t="s">
        <v>229</v>
      </c>
      <c r="E178" s="153">
        <f t="shared" si="22"/>
        <v>0</v>
      </c>
      <c r="F178" s="348">
        <f t="shared" si="25"/>
        <v>1.47</v>
      </c>
      <c r="G178" s="343">
        <f t="shared" si="23"/>
        <v>0</v>
      </c>
      <c r="H178" s="225" t="s">
        <v>175</v>
      </c>
      <c r="I178" s="318"/>
      <c r="J178" s="318">
        <v>1.47</v>
      </c>
      <c r="K178" s="318"/>
      <c r="L178" s="318"/>
      <c r="M178" s="318"/>
      <c r="N178" s="318"/>
      <c r="O178" s="318"/>
      <c r="P178" s="318"/>
      <c r="Q178" s="156"/>
      <c r="R178" s="303">
        <f t="shared" si="24"/>
        <v>0</v>
      </c>
      <c r="S178" s="173"/>
      <c r="T178" s="298">
        <f t="shared" si="26"/>
        <v>0</v>
      </c>
      <c r="U178" s="158"/>
      <c r="V178" s="289">
        <f t="shared" si="27"/>
        <v>0</v>
      </c>
      <c r="W178" s="159"/>
      <c r="X178" s="281">
        <f t="shared" si="28"/>
        <v>0</v>
      </c>
      <c r="Y178" s="161"/>
      <c r="Z178" s="271">
        <f t="shared" si="29"/>
        <v>0</v>
      </c>
    </row>
    <row r="179" spans="1:26" s="6" customFormat="1" ht="45" x14ac:dyDescent="0.25">
      <c r="A179" s="142" t="s">
        <v>1352</v>
      </c>
      <c r="B179" s="125">
        <v>38100</v>
      </c>
      <c r="C179" s="127" t="s">
        <v>326</v>
      </c>
      <c r="D179" s="150" t="s">
        <v>229</v>
      </c>
      <c r="E179" s="153">
        <f t="shared" si="22"/>
        <v>0</v>
      </c>
      <c r="F179" s="348">
        <f t="shared" si="25"/>
        <v>2.41</v>
      </c>
      <c r="G179" s="343">
        <f t="shared" si="23"/>
        <v>0</v>
      </c>
      <c r="H179" s="225" t="s">
        <v>175</v>
      </c>
      <c r="I179" s="318"/>
      <c r="J179" s="318">
        <v>2.41</v>
      </c>
      <c r="K179" s="318"/>
      <c r="L179" s="318"/>
      <c r="M179" s="318"/>
      <c r="N179" s="318"/>
      <c r="O179" s="318"/>
      <c r="P179" s="318"/>
      <c r="Q179" s="156"/>
      <c r="R179" s="303">
        <f t="shared" si="24"/>
        <v>0</v>
      </c>
      <c r="S179" s="173"/>
      <c r="T179" s="298">
        <f t="shared" si="26"/>
        <v>0</v>
      </c>
      <c r="U179" s="158"/>
      <c r="V179" s="289">
        <f t="shared" si="27"/>
        <v>0</v>
      </c>
      <c r="W179" s="159"/>
      <c r="X179" s="281">
        <f t="shared" si="28"/>
        <v>0</v>
      </c>
      <c r="Y179" s="161"/>
      <c r="Z179" s="271">
        <f t="shared" si="29"/>
        <v>0</v>
      </c>
    </row>
    <row r="180" spans="1:26" s="6" customFormat="1" x14ac:dyDescent="0.25">
      <c r="A180" s="142" t="s">
        <v>1353</v>
      </c>
      <c r="B180" s="125">
        <v>39346</v>
      </c>
      <c r="C180" s="127" t="s">
        <v>360</v>
      </c>
      <c r="D180" s="150" t="s">
        <v>229</v>
      </c>
      <c r="E180" s="153">
        <f t="shared" si="22"/>
        <v>0</v>
      </c>
      <c r="F180" s="348">
        <f t="shared" si="25"/>
        <v>2.4700000000000002</v>
      </c>
      <c r="G180" s="343">
        <f t="shared" si="23"/>
        <v>0</v>
      </c>
      <c r="H180" s="225" t="s">
        <v>175</v>
      </c>
      <c r="I180" s="318"/>
      <c r="J180" s="318">
        <v>2.4700000000000002</v>
      </c>
      <c r="K180" s="318"/>
      <c r="L180" s="318"/>
      <c r="M180" s="318"/>
      <c r="N180" s="318"/>
      <c r="O180" s="318"/>
      <c r="P180" s="318"/>
      <c r="Q180" s="156"/>
      <c r="R180" s="303">
        <f t="shared" si="24"/>
        <v>0</v>
      </c>
      <c r="S180" s="173"/>
      <c r="T180" s="298">
        <f t="shared" si="26"/>
        <v>0</v>
      </c>
      <c r="U180" s="158"/>
      <c r="V180" s="289">
        <f t="shared" si="27"/>
        <v>0</v>
      </c>
      <c r="W180" s="159"/>
      <c r="X180" s="281">
        <f t="shared" si="28"/>
        <v>0</v>
      </c>
      <c r="Y180" s="161"/>
      <c r="Z180" s="271">
        <f t="shared" si="29"/>
        <v>0</v>
      </c>
    </row>
    <row r="181" spans="1:26" s="6" customFormat="1" ht="30" x14ac:dyDescent="0.25">
      <c r="A181" s="142" t="s">
        <v>1354</v>
      </c>
      <c r="B181" s="125">
        <v>39352</v>
      </c>
      <c r="C181" s="127" t="s">
        <v>327</v>
      </c>
      <c r="D181" s="150" t="s">
        <v>229</v>
      </c>
      <c r="E181" s="153">
        <f t="shared" si="22"/>
        <v>0</v>
      </c>
      <c r="F181" s="348">
        <f t="shared" si="25"/>
        <v>2.4700000000000002</v>
      </c>
      <c r="G181" s="343">
        <f t="shared" si="23"/>
        <v>0</v>
      </c>
      <c r="H181" s="225" t="s">
        <v>175</v>
      </c>
      <c r="I181" s="318"/>
      <c r="J181" s="318">
        <v>2.4700000000000002</v>
      </c>
      <c r="K181" s="318"/>
      <c r="L181" s="318"/>
      <c r="M181" s="318"/>
      <c r="N181" s="318"/>
      <c r="O181" s="318"/>
      <c r="P181" s="318"/>
      <c r="Q181" s="156"/>
      <c r="R181" s="303">
        <f t="shared" si="24"/>
        <v>0</v>
      </c>
      <c r="S181" s="173"/>
      <c r="T181" s="298">
        <f t="shared" si="26"/>
        <v>0</v>
      </c>
      <c r="U181" s="158"/>
      <c r="V181" s="289">
        <f t="shared" si="27"/>
        <v>0</v>
      </c>
      <c r="W181" s="159"/>
      <c r="X181" s="281">
        <f t="shared" si="28"/>
        <v>0</v>
      </c>
      <c r="Y181" s="161"/>
      <c r="Z181" s="271">
        <f t="shared" si="29"/>
        <v>0</v>
      </c>
    </row>
    <row r="182" spans="1:26" s="6" customFormat="1" ht="30" x14ac:dyDescent="0.25">
      <c r="A182" s="142" t="s">
        <v>1355</v>
      </c>
      <c r="B182" s="125">
        <v>2666</v>
      </c>
      <c r="C182" s="127" t="s">
        <v>337</v>
      </c>
      <c r="D182" s="150" t="s">
        <v>229</v>
      </c>
      <c r="E182" s="153">
        <f t="shared" si="22"/>
        <v>0</v>
      </c>
      <c r="F182" s="348">
        <f t="shared" si="25"/>
        <v>5.26</v>
      </c>
      <c r="G182" s="343">
        <f t="shared" si="23"/>
        <v>0</v>
      </c>
      <c r="H182" s="225" t="s">
        <v>175</v>
      </c>
      <c r="I182" s="318"/>
      <c r="J182" s="318">
        <v>5.26</v>
      </c>
      <c r="K182" s="318"/>
      <c r="L182" s="318"/>
      <c r="M182" s="318"/>
      <c r="N182" s="318"/>
      <c r="O182" s="318"/>
      <c r="P182" s="318"/>
      <c r="Q182" s="156"/>
      <c r="R182" s="303">
        <f t="shared" si="24"/>
        <v>0</v>
      </c>
      <c r="S182" s="173"/>
      <c r="T182" s="298">
        <f t="shared" si="26"/>
        <v>0</v>
      </c>
      <c r="U182" s="158"/>
      <c r="V182" s="289">
        <f t="shared" si="27"/>
        <v>0</v>
      </c>
      <c r="W182" s="159"/>
      <c r="X182" s="281">
        <f t="shared" si="28"/>
        <v>0</v>
      </c>
      <c r="Y182" s="161"/>
      <c r="Z182" s="271">
        <f t="shared" si="29"/>
        <v>0</v>
      </c>
    </row>
    <row r="183" spans="1:26" s="6" customFormat="1" ht="30" x14ac:dyDescent="0.25">
      <c r="A183" s="142" t="s">
        <v>1356</v>
      </c>
      <c r="B183" s="125">
        <v>2668</v>
      </c>
      <c r="C183" s="127" t="s">
        <v>338</v>
      </c>
      <c r="D183" s="150" t="s">
        <v>229</v>
      </c>
      <c r="E183" s="153">
        <f t="shared" si="22"/>
        <v>0</v>
      </c>
      <c r="F183" s="348">
        <f t="shared" si="25"/>
        <v>6</v>
      </c>
      <c r="G183" s="343">
        <f t="shared" si="23"/>
        <v>0</v>
      </c>
      <c r="H183" s="225" t="s">
        <v>175</v>
      </c>
      <c r="I183" s="318"/>
      <c r="J183" s="318">
        <v>6</v>
      </c>
      <c r="K183" s="318"/>
      <c r="L183" s="318"/>
      <c r="M183" s="318"/>
      <c r="N183" s="318"/>
      <c r="O183" s="318"/>
      <c r="P183" s="318"/>
      <c r="Q183" s="156"/>
      <c r="R183" s="303">
        <f t="shared" si="24"/>
        <v>0</v>
      </c>
      <c r="S183" s="173"/>
      <c r="T183" s="298">
        <f t="shared" si="26"/>
        <v>0</v>
      </c>
      <c r="U183" s="158"/>
      <c r="V183" s="289">
        <f t="shared" si="27"/>
        <v>0</v>
      </c>
      <c r="W183" s="159"/>
      <c r="X183" s="281">
        <f t="shared" si="28"/>
        <v>0</v>
      </c>
      <c r="Y183" s="161"/>
      <c r="Z183" s="271">
        <f t="shared" si="29"/>
        <v>0</v>
      </c>
    </row>
    <row r="184" spans="1:26" s="6" customFormat="1" ht="30" x14ac:dyDescent="0.25">
      <c r="A184" s="142" t="s">
        <v>1357</v>
      </c>
      <c r="B184" s="125">
        <v>2664</v>
      </c>
      <c r="C184" s="127" t="s">
        <v>339</v>
      </c>
      <c r="D184" s="150" t="s">
        <v>229</v>
      </c>
      <c r="E184" s="153">
        <f t="shared" si="22"/>
        <v>0</v>
      </c>
      <c r="F184" s="348">
        <f t="shared" si="25"/>
        <v>8.85</v>
      </c>
      <c r="G184" s="343">
        <f t="shared" si="23"/>
        <v>0</v>
      </c>
      <c r="H184" s="225" t="s">
        <v>175</v>
      </c>
      <c r="I184" s="318"/>
      <c r="J184" s="318">
        <v>8.85</v>
      </c>
      <c r="K184" s="318"/>
      <c r="L184" s="318"/>
      <c r="M184" s="318"/>
      <c r="N184" s="318"/>
      <c r="O184" s="318"/>
      <c r="P184" s="318"/>
      <c r="Q184" s="156"/>
      <c r="R184" s="303">
        <f t="shared" si="24"/>
        <v>0</v>
      </c>
      <c r="S184" s="173"/>
      <c r="T184" s="298">
        <f t="shared" si="26"/>
        <v>0</v>
      </c>
      <c r="U184" s="158"/>
      <c r="V184" s="289">
        <f t="shared" si="27"/>
        <v>0</v>
      </c>
      <c r="W184" s="159"/>
      <c r="X184" s="281">
        <f t="shared" si="28"/>
        <v>0</v>
      </c>
      <c r="Y184" s="161"/>
      <c r="Z184" s="271">
        <f t="shared" si="29"/>
        <v>0</v>
      </c>
    </row>
    <row r="185" spans="1:26" s="6" customFormat="1" ht="30" x14ac:dyDescent="0.25">
      <c r="A185" s="142" t="s">
        <v>1358</v>
      </c>
      <c r="B185" s="125">
        <v>2662</v>
      </c>
      <c r="C185" s="127" t="s">
        <v>340</v>
      </c>
      <c r="D185" s="150" t="s">
        <v>229</v>
      </c>
      <c r="E185" s="153">
        <f t="shared" si="22"/>
        <v>0</v>
      </c>
      <c r="F185" s="348">
        <f t="shared" si="25"/>
        <v>10.86</v>
      </c>
      <c r="G185" s="343">
        <f t="shared" si="23"/>
        <v>0</v>
      </c>
      <c r="H185" s="225" t="s">
        <v>175</v>
      </c>
      <c r="I185" s="318"/>
      <c r="J185" s="318">
        <v>10.86</v>
      </c>
      <c r="K185" s="318"/>
      <c r="L185" s="318"/>
      <c r="M185" s="318"/>
      <c r="N185" s="318"/>
      <c r="O185" s="318"/>
      <c r="P185" s="318"/>
      <c r="Q185" s="156"/>
      <c r="R185" s="303">
        <f t="shared" si="24"/>
        <v>0</v>
      </c>
      <c r="S185" s="173"/>
      <c r="T185" s="298">
        <f t="shared" si="26"/>
        <v>0</v>
      </c>
      <c r="U185" s="158"/>
      <c r="V185" s="289">
        <f t="shared" si="27"/>
        <v>0</v>
      </c>
      <c r="W185" s="159"/>
      <c r="X185" s="281">
        <f t="shared" si="28"/>
        <v>0</v>
      </c>
      <c r="Y185" s="161"/>
      <c r="Z185" s="271">
        <f t="shared" si="29"/>
        <v>0</v>
      </c>
    </row>
    <row r="186" spans="1:26" s="6" customFormat="1" ht="45" x14ac:dyDescent="0.25">
      <c r="A186" s="142" t="s">
        <v>1359</v>
      </c>
      <c r="B186" s="125">
        <v>1571</v>
      </c>
      <c r="C186" s="127" t="s">
        <v>266</v>
      </c>
      <c r="D186" s="150" t="s">
        <v>229</v>
      </c>
      <c r="E186" s="153">
        <f t="shared" si="22"/>
        <v>0</v>
      </c>
      <c r="F186" s="348">
        <f t="shared" si="25"/>
        <v>0.66</v>
      </c>
      <c r="G186" s="343">
        <f t="shared" si="23"/>
        <v>0</v>
      </c>
      <c r="H186" s="225" t="s">
        <v>175</v>
      </c>
      <c r="I186" s="318"/>
      <c r="J186" s="318">
        <v>0.66</v>
      </c>
      <c r="K186" s="318"/>
      <c r="L186" s="318"/>
      <c r="M186" s="318"/>
      <c r="N186" s="318"/>
      <c r="O186" s="318"/>
      <c r="P186" s="318"/>
      <c r="Q186" s="156"/>
      <c r="R186" s="303">
        <f t="shared" si="24"/>
        <v>0</v>
      </c>
      <c r="S186" s="173"/>
      <c r="T186" s="298">
        <f t="shared" si="26"/>
        <v>0</v>
      </c>
      <c r="U186" s="158"/>
      <c r="V186" s="289">
        <f t="shared" si="27"/>
        <v>0</v>
      </c>
      <c r="W186" s="159"/>
      <c r="X186" s="281">
        <f t="shared" si="28"/>
        <v>0</v>
      </c>
      <c r="Y186" s="161"/>
      <c r="Z186" s="271">
        <f t="shared" si="29"/>
        <v>0</v>
      </c>
    </row>
    <row r="187" spans="1:26" s="6" customFormat="1" ht="45" x14ac:dyDescent="0.25">
      <c r="A187" s="142" t="s">
        <v>1360</v>
      </c>
      <c r="B187" s="125">
        <v>1573</v>
      </c>
      <c r="C187" s="127" t="s">
        <v>267</v>
      </c>
      <c r="D187" s="150" t="s">
        <v>229</v>
      </c>
      <c r="E187" s="153">
        <f t="shared" si="22"/>
        <v>0</v>
      </c>
      <c r="F187" s="348">
        <f t="shared" si="25"/>
        <v>0.79</v>
      </c>
      <c r="G187" s="343">
        <f t="shared" si="23"/>
        <v>0</v>
      </c>
      <c r="H187" s="225" t="s">
        <v>175</v>
      </c>
      <c r="I187" s="318"/>
      <c r="J187" s="318">
        <v>0.79</v>
      </c>
      <c r="K187" s="318"/>
      <c r="L187" s="318"/>
      <c r="M187" s="318"/>
      <c r="N187" s="318"/>
      <c r="O187" s="318"/>
      <c r="P187" s="318"/>
      <c r="Q187" s="156"/>
      <c r="R187" s="303">
        <f t="shared" si="24"/>
        <v>0</v>
      </c>
      <c r="S187" s="173"/>
      <c r="T187" s="298">
        <f t="shared" si="26"/>
        <v>0</v>
      </c>
      <c r="U187" s="158"/>
      <c r="V187" s="289">
        <f t="shared" si="27"/>
        <v>0</v>
      </c>
      <c r="W187" s="159"/>
      <c r="X187" s="281">
        <f t="shared" si="28"/>
        <v>0</v>
      </c>
      <c r="Y187" s="161"/>
      <c r="Z187" s="271">
        <f t="shared" si="29"/>
        <v>0</v>
      </c>
    </row>
    <row r="188" spans="1:26" s="6" customFormat="1" ht="30" x14ac:dyDescent="0.25">
      <c r="A188" s="142" t="s">
        <v>1361</v>
      </c>
      <c r="B188" s="125">
        <v>1542</v>
      </c>
      <c r="C188" s="127" t="s">
        <v>268</v>
      </c>
      <c r="D188" s="150" t="s">
        <v>229</v>
      </c>
      <c r="E188" s="153">
        <f t="shared" si="22"/>
        <v>0</v>
      </c>
      <c r="F188" s="348">
        <f t="shared" si="25"/>
        <v>11.75</v>
      </c>
      <c r="G188" s="343">
        <f t="shared" si="23"/>
        <v>0</v>
      </c>
      <c r="H188" s="225" t="s">
        <v>175</v>
      </c>
      <c r="I188" s="318"/>
      <c r="J188" s="318">
        <v>11.75</v>
      </c>
      <c r="K188" s="318"/>
      <c r="L188" s="318"/>
      <c r="M188" s="318"/>
      <c r="N188" s="318"/>
      <c r="O188" s="318"/>
      <c r="P188" s="318"/>
      <c r="Q188" s="156"/>
      <c r="R188" s="303">
        <f t="shared" si="24"/>
        <v>0</v>
      </c>
      <c r="S188" s="173"/>
      <c r="T188" s="298">
        <f t="shared" si="26"/>
        <v>0</v>
      </c>
      <c r="U188" s="158"/>
      <c r="V188" s="289">
        <f t="shared" si="27"/>
        <v>0</v>
      </c>
      <c r="W188" s="159"/>
      <c r="X188" s="281">
        <f t="shared" si="28"/>
        <v>0</v>
      </c>
      <c r="Y188" s="161"/>
      <c r="Z188" s="271">
        <f t="shared" si="29"/>
        <v>0</v>
      </c>
    </row>
    <row r="189" spans="1:26" s="6" customFormat="1" x14ac:dyDescent="0.25">
      <c r="A189" s="142" t="s">
        <v>1362</v>
      </c>
      <c r="B189" s="18"/>
      <c r="C189" s="21" t="s">
        <v>56</v>
      </c>
      <c r="D189" s="1" t="s">
        <v>1</v>
      </c>
      <c r="E189" s="153">
        <f t="shared" si="22"/>
        <v>25</v>
      </c>
      <c r="F189" s="348">
        <f t="shared" si="25"/>
        <v>7.0366666666666662</v>
      </c>
      <c r="G189" s="343">
        <f t="shared" si="23"/>
        <v>175.91666666666666</v>
      </c>
      <c r="H189" s="224" t="s">
        <v>1100</v>
      </c>
      <c r="I189" s="321">
        <v>8.7100000000000009</v>
      </c>
      <c r="J189" s="315">
        <v>5.26</v>
      </c>
      <c r="K189" s="315">
        <v>10</v>
      </c>
      <c r="L189" s="315"/>
      <c r="M189" s="315"/>
      <c r="N189" s="315">
        <v>5.85</v>
      </c>
      <c r="O189" s="315"/>
      <c r="P189" s="315"/>
      <c r="Q189" s="155">
        <v>0</v>
      </c>
      <c r="R189" s="303">
        <f t="shared" si="24"/>
        <v>0</v>
      </c>
      <c r="S189" s="25">
        <v>0</v>
      </c>
      <c r="T189" s="298">
        <f t="shared" si="26"/>
        <v>0</v>
      </c>
      <c r="U189" s="47">
        <v>0</v>
      </c>
      <c r="V189" s="289">
        <f t="shared" si="27"/>
        <v>0</v>
      </c>
      <c r="W189" s="43">
        <v>0</v>
      </c>
      <c r="X189" s="281">
        <f t="shared" si="28"/>
        <v>0</v>
      </c>
      <c r="Y189" s="37">
        <v>25</v>
      </c>
      <c r="Z189" s="271">
        <f t="shared" si="29"/>
        <v>175.91666666666666</v>
      </c>
    </row>
    <row r="190" spans="1:26" s="6" customFormat="1" x14ac:dyDescent="0.25">
      <c r="A190" s="142" t="s">
        <v>1363</v>
      </c>
      <c r="B190" s="125">
        <v>38101</v>
      </c>
      <c r="C190" s="127" t="s">
        <v>332</v>
      </c>
      <c r="D190" s="150" t="s">
        <v>229</v>
      </c>
      <c r="E190" s="153">
        <f t="shared" si="22"/>
        <v>0</v>
      </c>
      <c r="F190" s="348">
        <f t="shared" si="25"/>
        <v>7.61</v>
      </c>
      <c r="G190" s="343">
        <f t="shared" si="23"/>
        <v>0</v>
      </c>
      <c r="H190" s="225" t="s">
        <v>175</v>
      </c>
      <c r="I190" s="318"/>
      <c r="J190" s="318">
        <v>7.61</v>
      </c>
      <c r="K190" s="318"/>
      <c r="L190" s="318"/>
      <c r="M190" s="318"/>
      <c r="N190" s="318"/>
      <c r="O190" s="318"/>
      <c r="P190" s="318"/>
      <c r="Q190" s="156"/>
      <c r="R190" s="303">
        <f t="shared" si="24"/>
        <v>0</v>
      </c>
      <c r="S190" s="173"/>
      <c r="T190" s="298">
        <f t="shared" si="26"/>
        <v>0</v>
      </c>
      <c r="U190" s="158"/>
      <c r="V190" s="289">
        <f t="shared" si="27"/>
        <v>0</v>
      </c>
      <c r="W190" s="159"/>
      <c r="X190" s="281">
        <f t="shared" si="28"/>
        <v>0</v>
      </c>
      <c r="Y190" s="161"/>
      <c r="Z190" s="271">
        <f t="shared" si="29"/>
        <v>0</v>
      </c>
    </row>
    <row r="191" spans="1:26" s="6" customFormat="1" ht="30" x14ac:dyDescent="0.25">
      <c r="A191" s="142" t="s">
        <v>1364</v>
      </c>
      <c r="B191" s="125">
        <v>7528</v>
      </c>
      <c r="C191" s="127" t="s">
        <v>333</v>
      </c>
      <c r="D191" s="150" t="s">
        <v>229</v>
      </c>
      <c r="E191" s="153">
        <f t="shared" si="22"/>
        <v>0</v>
      </c>
      <c r="F191" s="348">
        <f t="shared" si="25"/>
        <v>8.9499999999999993</v>
      </c>
      <c r="G191" s="343">
        <f t="shared" si="23"/>
        <v>0</v>
      </c>
      <c r="H191" s="225" t="s">
        <v>175</v>
      </c>
      <c r="I191" s="318"/>
      <c r="J191" s="318">
        <v>8.9499999999999993</v>
      </c>
      <c r="K191" s="318"/>
      <c r="L191" s="318"/>
      <c r="M191" s="318"/>
      <c r="N191" s="318"/>
      <c r="O191" s="318"/>
      <c r="P191" s="318"/>
      <c r="Q191" s="156"/>
      <c r="R191" s="303">
        <f t="shared" si="24"/>
        <v>0</v>
      </c>
      <c r="S191" s="173"/>
      <c r="T191" s="298">
        <f t="shared" si="26"/>
        <v>0</v>
      </c>
      <c r="U191" s="158"/>
      <c r="V191" s="289">
        <f t="shared" si="27"/>
        <v>0</v>
      </c>
      <c r="W191" s="159"/>
      <c r="X191" s="281">
        <f t="shared" si="28"/>
        <v>0</v>
      </c>
      <c r="Y191" s="161"/>
      <c r="Z191" s="271">
        <f t="shared" si="29"/>
        <v>0</v>
      </c>
    </row>
    <row r="192" spans="1:26" s="6" customFormat="1" ht="30" x14ac:dyDescent="0.25">
      <c r="A192" s="142" t="s">
        <v>1365</v>
      </c>
      <c r="B192" s="125">
        <v>12147</v>
      </c>
      <c r="C192" s="127" t="s">
        <v>334</v>
      </c>
      <c r="D192" s="150" t="s">
        <v>229</v>
      </c>
      <c r="E192" s="153">
        <f t="shared" si="22"/>
        <v>100</v>
      </c>
      <c r="F192" s="348">
        <f t="shared" si="25"/>
        <v>13.64</v>
      </c>
      <c r="G192" s="343">
        <f t="shared" si="23"/>
        <v>1364</v>
      </c>
      <c r="H192" s="225" t="s">
        <v>175</v>
      </c>
      <c r="I192" s="321">
        <v>7.91</v>
      </c>
      <c r="J192" s="315">
        <v>13.64</v>
      </c>
      <c r="K192" s="315">
        <v>9.7200000000000006</v>
      </c>
      <c r="L192" s="315">
        <v>11.69</v>
      </c>
      <c r="M192" s="315">
        <v>6.65</v>
      </c>
      <c r="N192" s="315"/>
      <c r="O192" s="315"/>
      <c r="P192" s="315">
        <v>6.5</v>
      </c>
      <c r="Q192" s="155">
        <v>30</v>
      </c>
      <c r="R192" s="303">
        <f t="shared" si="24"/>
        <v>409.20000000000005</v>
      </c>
      <c r="S192" s="25">
        <v>20</v>
      </c>
      <c r="T192" s="298">
        <f t="shared" si="26"/>
        <v>272.8</v>
      </c>
      <c r="U192" s="47">
        <v>25</v>
      </c>
      <c r="V192" s="289">
        <f t="shared" si="27"/>
        <v>341</v>
      </c>
      <c r="W192" s="43">
        <v>0</v>
      </c>
      <c r="X192" s="281">
        <f t="shared" si="28"/>
        <v>0</v>
      </c>
      <c r="Y192" s="37">
        <v>25</v>
      </c>
      <c r="Z192" s="271">
        <f t="shared" si="29"/>
        <v>341</v>
      </c>
    </row>
    <row r="193" spans="1:26" s="6" customFormat="1" ht="30" x14ac:dyDescent="0.25">
      <c r="A193" s="142" t="s">
        <v>1366</v>
      </c>
      <c r="B193" s="125">
        <v>38075</v>
      </c>
      <c r="C193" s="127" t="s">
        <v>335</v>
      </c>
      <c r="D193" s="150" t="s">
        <v>229</v>
      </c>
      <c r="E193" s="153">
        <f>Q193+S193+U193+W193+Y193</f>
        <v>110</v>
      </c>
      <c r="F193" s="348">
        <f t="shared" si="25"/>
        <v>15.5</v>
      </c>
      <c r="G193" s="343">
        <f t="shared" si="23"/>
        <v>1705</v>
      </c>
      <c r="H193" s="225" t="s">
        <v>175</v>
      </c>
      <c r="I193" s="321">
        <v>10.07</v>
      </c>
      <c r="J193" s="315">
        <v>15.5</v>
      </c>
      <c r="K193" s="315">
        <v>10.44</v>
      </c>
      <c r="L193" s="315">
        <v>9.99</v>
      </c>
      <c r="M193" s="315">
        <v>11.44</v>
      </c>
      <c r="N193" s="315">
        <v>6.53</v>
      </c>
      <c r="O193" s="315"/>
      <c r="P193" s="315">
        <v>10</v>
      </c>
      <c r="Q193" s="155">
        <v>30</v>
      </c>
      <c r="R193" s="303">
        <f t="shared" si="24"/>
        <v>465</v>
      </c>
      <c r="S193" s="25">
        <v>20</v>
      </c>
      <c r="T193" s="298">
        <f t="shared" si="26"/>
        <v>310</v>
      </c>
      <c r="U193" s="47">
        <v>30</v>
      </c>
      <c r="V193" s="289">
        <f t="shared" si="27"/>
        <v>465</v>
      </c>
      <c r="W193" s="43">
        <v>0</v>
      </c>
      <c r="X193" s="281">
        <f t="shared" si="28"/>
        <v>0</v>
      </c>
      <c r="Y193" s="37">
        <v>30</v>
      </c>
      <c r="Z193" s="271">
        <f t="shared" si="29"/>
        <v>465</v>
      </c>
    </row>
    <row r="194" spans="1:26" s="6" customFormat="1" ht="45" x14ac:dyDescent="0.25">
      <c r="A194" s="142" t="s">
        <v>1367</v>
      </c>
      <c r="B194">
        <v>38084</v>
      </c>
      <c r="C194" s="130" t="s">
        <v>328</v>
      </c>
      <c r="D194" s="150" t="s">
        <v>229</v>
      </c>
      <c r="E194" s="153">
        <f t="shared" ref="E194:E198" si="30">Q194+S194+U194+W194+Y194</f>
        <v>0</v>
      </c>
      <c r="F194" s="348">
        <f t="shared" si="25"/>
        <v>15.15</v>
      </c>
      <c r="G194" s="343">
        <f t="shared" si="23"/>
        <v>0</v>
      </c>
      <c r="H194" s="225" t="s">
        <v>175</v>
      </c>
      <c r="I194" s="318"/>
      <c r="J194" s="318">
        <v>15.15</v>
      </c>
      <c r="K194" s="318"/>
      <c r="L194" s="318"/>
      <c r="M194" s="318"/>
      <c r="N194" s="318"/>
      <c r="O194" s="318"/>
      <c r="P194" s="318"/>
      <c r="Q194" s="156"/>
      <c r="R194" s="303">
        <f t="shared" si="24"/>
        <v>0</v>
      </c>
      <c r="S194" s="173"/>
      <c r="T194" s="298">
        <f t="shared" si="26"/>
        <v>0</v>
      </c>
      <c r="U194" s="158"/>
      <c r="V194" s="289">
        <f t="shared" si="27"/>
        <v>0</v>
      </c>
      <c r="W194" s="159"/>
      <c r="X194" s="281">
        <f t="shared" si="28"/>
        <v>0</v>
      </c>
      <c r="Y194" s="161"/>
      <c r="Z194" s="271">
        <f t="shared" si="29"/>
        <v>0</v>
      </c>
    </row>
    <row r="195" spans="1:26" s="6" customFormat="1" x14ac:dyDescent="0.25">
      <c r="A195" s="142" t="s">
        <v>1368</v>
      </c>
      <c r="B195">
        <v>38103</v>
      </c>
      <c r="C195" s="130" t="s">
        <v>329</v>
      </c>
      <c r="D195" s="150" t="s">
        <v>229</v>
      </c>
      <c r="E195" s="153">
        <f t="shared" si="30"/>
        <v>0</v>
      </c>
      <c r="F195" s="348">
        <f t="shared" si="25"/>
        <v>16.010000000000002</v>
      </c>
      <c r="G195" s="343">
        <f t="shared" si="23"/>
        <v>0</v>
      </c>
      <c r="H195" s="225" t="s">
        <v>175</v>
      </c>
      <c r="I195" s="318"/>
      <c r="J195" s="318">
        <v>16.010000000000002</v>
      </c>
      <c r="K195" s="318"/>
      <c r="L195" s="318"/>
      <c r="M195" s="318"/>
      <c r="N195" s="318"/>
      <c r="O195" s="318"/>
      <c r="P195" s="318"/>
      <c r="Q195" s="156"/>
      <c r="R195" s="303">
        <f t="shared" si="24"/>
        <v>0</v>
      </c>
      <c r="S195" s="173"/>
      <c r="T195" s="298">
        <f t="shared" si="26"/>
        <v>0</v>
      </c>
      <c r="U195" s="158"/>
      <c r="V195" s="289">
        <f t="shared" si="27"/>
        <v>0</v>
      </c>
      <c r="W195" s="159"/>
      <c r="X195" s="281">
        <f t="shared" si="28"/>
        <v>0</v>
      </c>
      <c r="Y195" s="161"/>
      <c r="Z195" s="271">
        <f t="shared" si="29"/>
        <v>0</v>
      </c>
    </row>
    <row r="196" spans="1:26" s="6" customFormat="1" ht="30" x14ac:dyDescent="0.25">
      <c r="A196" s="142" t="s">
        <v>1369</v>
      </c>
      <c r="B196" s="125">
        <v>38082</v>
      </c>
      <c r="C196" s="127" t="s">
        <v>330</v>
      </c>
      <c r="D196" s="150" t="s">
        <v>229</v>
      </c>
      <c r="E196" s="153">
        <f t="shared" si="30"/>
        <v>0</v>
      </c>
      <c r="F196" s="348">
        <f t="shared" si="25"/>
        <v>19.73</v>
      </c>
      <c r="G196" s="343">
        <f t="shared" si="23"/>
        <v>0</v>
      </c>
      <c r="H196" s="225" t="s">
        <v>175</v>
      </c>
      <c r="I196" s="318"/>
      <c r="J196" s="318">
        <v>19.73</v>
      </c>
      <c r="K196" s="318"/>
      <c r="L196" s="318"/>
      <c r="M196" s="318"/>
      <c r="N196" s="318"/>
      <c r="O196" s="318"/>
      <c r="P196" s="318"/>
      <c r="Q196" s="156"/>
      <c r="R196" s="303">
        <f t="shared" si="24"/>
        <v>0</v>
      </c>
      <c r="S196" s="173"/>
      <c r="T196" s="298">
        <f t="shared" si="26"/>
        <v>0</v>
      </c>
      <c r="U196" s="158"/>
      <c r="V196" s="289">
        <f t="shared" si="27"/>
        <v>0</v>
      </c>
      <c r="W196" s="159"/>
      <c r="X196" s="281">
        <f t="shared" si="28"/>
        <v>0</v>
      </c>
      <c r="Y196" s="161"/>
      <c r="Z196" s="271">
        <f t="shared" si="29"/>
        <v>0</v>
      </c>
    </row>
    <row r="197" spans="1:26" s="6" customFormat="1" x14ac:dyDescent="0.25">
      <c r="A197" s="142" t="s">
        <v>1370</v>
      </c>
      <c r="B197" s="125">
        <v>38104</v>
      </c>
      <c r="C197" s="127" t="s">
        <v>331</v>
      </c>
      <c r="D197" s="150" t="s">
        <v>229</v>
      </c>
      <c r="E197" s="153">
        <f t="shared" si="30"/>
        <v>0</v>
      </c>
      <c r="F197" s="348">
        <f t="shared" si="25"/>
        <v>31.35</v>
      </c>
      <c r="G197" s="343">
        <f t="shared" ref="G197:G198" si="31">R197+T197+V197+X197+Z197</f>
        <v>0</v>
      </c>
      <c r="H197" s="225" t="s">
        <v>175</v>
      </c>
      <c r="I197" s="318"/>
      <c r="J197" s="318">
        <v>31.35</v>
      </c>
      <c r="K197" s="318"/>
      <c r="L197" s="318"/>
      <c r="M197" s="318"/>
      <c r="N197" s="318"/>
      <c r="O197" s="318"/>
      <c r="P197" s="318"/>
      <c r="Q197" s="156"/>
      <c r="R197" s="303">
        <f t="shared" si="24"/>
        <v>0</v>
      </c>
      <c r="S197" s="173"/>
      <c r="T197" s="298">
        <f t="shared" si="26"/>
        <v>0</v>
      </c>
      <c r="U197" s="158"/>
      <c r="V197" s="289">
        <f t="shared" si="27"/>
        <v>0</v>
      </c>
      <c r="W197" s="159"/>
      <c r="X197" s="281">
        <f t="shared" si="28"/>
        <v>0</v>
      </c>
      <c r="Y197" s="161"/>
      <c r="Z197" s="271">
        <f t="shared" si="29"/>
        <v>0</v>
      </c>
    </row>
    <row r="198" spans="1:26" s="6" customFormat="1" ht="45" x14ac:dyDescent="0.25">
      <c r="A198" s="142" t="s">
        <v>1371</v>
      </c>
      <c r="B198" s="125">
        <v>38076</v>
      </c>
      <c r="C198" s="127" t="s">
        <v>336</v>
      </c>
      <c r="D198" s="150" t="s">
        <v>229</v>
      </c>
      <c r="E198" s="153">
        <f t="shared" si="30"/>
        <v>0</v>
      </c>
      <c r="F198" s="348">
        <f t="shared" si="25"/>
        <v>17.38</v>
      </c>
      <c r="G198" s="343">
        <f t="shared" si="31"/>
        <v>0</v>
      </c>
      <c r="H198" s="225" t="s">
        <v>175</v>
      </c>
      <c r="I198" s="318"/>
      <c r="J198" s="318">
        <v>17.38</v>
      </c>
      <c r="K198" s="318"/>
      <c r="L198" s="318"/>
      <c r="M198" s="318"/>
      <c r="N198" s="318"/>
      <c r="O198" s="318"/>
      <c r="P198" s="318"/>
      <c r="Q198" s="156"/>
      <c r="R198" s="303">
        <f t="shared" si="24"/>
        <v>0</v>
      </c>
      <c r="S198" s="173">
        <f>SUM(R198)</f>
        <v>0</v>
      </c>
      <c r="T198" s="298">
        <f t="shared" si="26"/>
        <v>0</v>
      </c>
      <c r="U198" s="158"/>
      <c r="V198" s="289">
        <f t="shared" si="27"/>
        <v>0</v>
      </c>
      <c r="W198" s="159"/>
      <c r="X198" s="281">
        <f t="shared" si="28"/>
        <v>0</v>
      </c>
      <c r="Y198" s="161"/>
      <c r="Z198" s="271">
        <f t="shared" si="29"/>
        <v>0</v>
      </c>
    </row>
    <row r="199" spans="1:26" s="6" customFormat="1" x14ac:dyDescent="0.25">
      <c r="A199" s="190"/>
      <c r="B199" s="190"/>
      <c r="C199" s="191" t="s">
        <v>1172</v>
      </c>
      <c r="D199" s="192"/>
      <c r="E199" s="193"/>
      <c r="F199" s="325"/>
      <c r="G199" s="301">
        <f>SUM(G5:G198)</f>
        <v>148998.7674999999</v>
      </c>
      <c r="H199" s="225"/>
      <c r="I199" s="325"/>
      <c r="J199" s="325"/>
      <c r="K199" s="325"/>
      <c r="L199" s="325"/>
      <c r="M199" s="325" t="s">
        <v>1177</v>
      </c>
      <c r="N199" s="325"/>
      <c r="O199" s="325"/>
      <c r="P199" s="325"/>
      <c r="Q199" s="190"/>
      <c r="R199" s="303">
        <f>SUM(R5:R198)</f>
        <v>17378.392291666671</v>
      </c>
      <c r="S199" s="196"/>
      <c r="T199" s="303">
        <f>SUM(T5:T198)</f>
        <v>36487.505416666667</v>
      </c>
      <c r="U199" s="197"/>
      <c r="V199" s="303">
        <f>SUM(V5:V198)</f>
        <v>48481.291666666664</v>
      </c>
      <c r="W199" s="197"/>
      <c r="X199" s="303">
        <f>SUM(X5:X198)</f>
        <v>16566.291666666672</v>
      </c>
      <c r="Y199" s="197"/>
      <c r="Z199" s="303">
        <f>SUM(Z5:Z198)</f>
        <v>30085.286458333339</v>
      </c>
    </row>
    <row r="200" spans="1:26" s="6" customFormat="1" x14ac:dyDescent="0.25">
      <c r="A200" s="55"/>
      <c r="B200" s="55"/>
      <c r="C200" s="194" t="s">
        <v>1109</v>
      </c>
      <c r="D200" s="55">
        <f>COUNTA(A5:A198)</f>
        <v>194</v>
      </c>
      <c r="E200" s="195"/>
      <c r="F200" s="301"/>
      <c r="G200" s="278"/>
      <c r="H200" s="152"/>
      <c r="I200" s="326"/>
      <c r="J200" s="326"/>
      <c r="K200" s="326"/>
      <c r="L200" s="327"/>
      <c r="M200" s="327"/>
      <c r="N200" s="327"/>
      <c r="O200" s="327"/>
      <c r="P200" s="327"/>
      <c r="Q200" s="196"/>
      <c r="R200" s="303"/>
      <c r="S200" s="196"/>
      <c r="T200" s="262"/>
      <c r="U200" s="197"/>
      <c r="V200" s="262"/>
      <c r="W200" s="197"/>
      <c r="X200" s="262"/>
      <c r="Y200" s="197"/>
      <c r="Z200" s="262"/>
    </row>
  </sheetData>
  <mergeCells count="4">
    <mergeCell ref="A1:Z1"/>
    <mergeCell ref="A2:H2"/>
    <mergeCell ref="I2:P2"/>
    <mergeCell ref="Q2:Z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topLeftCell="E1" zoomScaleNormal="100" workbookViewId="0">
      <pane ySplit="2" topLeftCell="A123" activePane="bottomLeft" state="frozen"/>
      <selection activeCell="E1" sqref="E1"/>
      <selection pane="bottomLeft" activeCell="G142" sqref="G142"/>
    </sheetView>
  </sheetViews>
  <sheetFormatPr defaultRowHeight="15" x14ac:dyDescent="0.25"/>
  <cols>
    <col min="1" max="1" width="9.140625" customWidth="1"/>
    <col min="3" max="3" width="55.140625" customWidth="1"/>
    <col min="4" max="4" width="9.140625" style="149"/>
    <col min="5" max="5" width="9.140625" style="151"/>
    <col min="6" max="6" width="9.140625" style="270"/>
    <col min="7" max="7" width="10.140625" style="270" bestFit="1" customWidth="1"/>
    <col min="9" max="9" width="10" style="270" customWidth="1"/>
    <col min="10" max="14" width="9.140625" style="270" customWidth="1"/>
    <col min="15" max="15" width="10.140625" style="270" customWidth="1"/>
    <col min="16" max="16" width="9.140625" style="270" customWidth="1"/>
    <col min="17" max="17" width="10.85546875" customWidth="1"/>
    <col min="18" max="18" width="11.42578125" style="270" bestFit="1" customWidth="1"/>
    <col min="20" max="20" width="11" style="270" bestFit="1" customWidth="1"/>
    <col min="21" max="21" width="9.85546875" bestFit="1" customWidth="1"/>
    <col min="22" max="22" width="11" style="270" bestFit="1" customWidth="1"/>
    <col min="23" max="23" width="11.140625" bestFit="1" customWidth="1"/>
    <col min="24" max="24" width="11" style="270" bestFit="1" customWidth="1"/>
    <col min="25" max="25" width="9.85546875" bestFit="1" customWidth="1"/>
    <col min="26" max="26" width="11" style="270" bestFit="1" customWidth="1"/>
  </cols>
  <sheetData>
    <row r="1" spans="1:26" s="353" customFormat="1" ht="64.5" customHeight="1" x14ac:dyDescent="0.25">
      <c r="A1" s="426" t="s">
        <v>1372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spans="1:26" s="6" customFormat="1" ht="15.75" x14ac:dyDescent="0.25">
      <c r="A2" s="427" t="s">
        <v>1376</v>
      </c>
      <c r="B2" s="428"/>
      <c r="C2" s="428"/>
      <c r="D2" s="428"/>
      <c r="E2" s="428"/>
      <c r="F2" s="428"/>
      <c r="G2" s="428"/>
      <c r="H2" s="428"/>
      <c r="I2" s="429" t="s">
        <v>1375</v>
      </c>
      <c r="J2" s="429"/>
      <c r="K2" s="429"/>
      <c r="L2" s="429"/>
      <c r="M2" s="429"/>
      <c r="N2" s="429"/>
      <c r="O2" s="429"/>
      <c r="P2" s="430"/>
      <c r="Q2" s="431" t="s">
        <v>1374</v>
      </c>
      <c r="R2" s="432"/>
      <c r="S2" s="432"/>
      <c r="T2" s="432"/>
      <c r="U2" s="432"/>
      <c r="V2" s="432"/>
      <c r="W2" s="432"/>
      <c r="X2" s="432"/>
      <c r="Y2" s="432"/>
      <c r="Z2" s="432"/>
    </row>
    <row r="3" spans="1:26" s="6" customFormat="1" ht="15.75" thickBot="1" x14ac:dyDescent="0.3">
      <c r="A3" s="217"/>
      <c r="B3" s="217"/>
      <c r="C3" s="217" t="s">
        <v>1111</v>
      </c>
      <c r="D3" s="218"/>
      <c r="E3" s="219"/>
      <c r="F3" s="267"/>
      <c r="G3" s="267"/>
      <c r="H3" s="220"/>
      <c r="I3" s="310"/>
      <c r="J3" s="311" t="s">
        <v>215</v>
      </c>
      <c r="K3" s="312"/>
      <c r="L3" s="312"/>
      <c r="M3" s="312"/>
      <c r="N3" s="312"/>
      <c r="O3" s="312"/>
      <c r="P3" s="313"/>
      <c r="Q3" s="220"/>
      <c r="R3" s="267"/>
      <c r="S3" s="221" t="s">
        <v>1175</v>
      </c>
      <c r="T3" s="267"/>
      <c r="U3" s="220"/>
      <c r="V3" s="267"/>
      <c r="W3" s="220"/>
      <c r="X3" s="267"/>
      <c r="Y3" s="220"/>
      <c r="Z3" s="267"/>
    </row>
    <row r="4" spans="1:26" s="6" customFormat="1" ht="45" x14ac:dyDescent="0.25">
      <c r="A4" s="54" t="s">
        <v>0</v>
      </c>
      <c r="B4" s="54" t="s">
        <v>1095</v>
      </c>
      <c r="C4" s="17" t="s">
        <v>224</v>
      </c>
      <c r="D4" s="24" t="s">
        <v>225</v>
      </c>
      <c r="E4" s="19" t="s">
        <v>2</v>
      </c>
      <c r="F4" s="342" t="s">
        <v>227</v>
      </c>
      <c r="G4" s="342" t="s">
        <v>217</v>
      </c>
      <c r="H4" s="176" t="s">
        <v>226</v>
      </c>
      <c r="I4" s="314" t="s">
        <v>173</v>
      </c>
      <c r="J4" s="315" t="s">
        <v>175</v>
      </c>
      <c r="K4" s="316" t="s">
        <v>196</v>
      </c>
      <c r="L4" s="316" t="s">
        <v>182</v>
      </c>
      <c r="M4" s="315" t="s">
        <v>193</v>
      </c>
      <c r="N4" s="317" t="s">
        <v>208</v>
      </c>
      <c r="O4" s="317" t="s">
        <v>209</v>
      </c>
      <c r="P4" s="317" t="s">
        <v>216</v>
      </c>
      <c r="Q4" s="162" t="s">
        <v>1108</v>
      </c>
      <c r="R4" s="302" t="s">
        <v>1099</v>
      </c>
      <c r="S4" s="172" t="s">
        <v>1107</v>
      </c>
      <c r="T4" s="297" t="s">
        <v>1099</v>
      </c>
      <c r="U4" s="163" t="s">
        <v>1106</v>
      </c>
      <c r="V4" s="288" t="s">
        <v>1099</v>
      </c>
      <c r="W4" s="164" t="s">
        <v>1105</v>
      </c>
      <c r="X4" s="280" t="s">
        <v>1099</v>
      </c>
      <c r="Y4" s="165" t="s">
        <v>1104</v>
      </c>
      <c r="Z4" s="268" t="s">
        <v>1099</v>
      </c>
    </row>
    <row r="5" spans="1:26" x14ac:dyDescent="0.25">
      <c r="A5" s="125" t="s">
        <v>1112</v>
      </c>
      <c r="B5" s="67"/>
      <c r="C5" s="68" t="s">
        <v>130</v>
      </c>
      <c r="D5" s="67" t="s">
        <v>1</v>
      </c>
      <c r="E5" s="216">
        <f t="shared" ref="E5:E68" si="0">Q5+S5+U5+W5+Y5</f>
        <v>110</v>
      </c>
      <c r="F5" s="348">
        <f t="shared" ref="F5:F36" si="1">IF(H5="SINAPI",J5,AVERAGE(J5:P5))</f>
        <v>3.23875</v>
      </c>
      <c r="G5" s="344">
        <f>R5+T5+V5+X5+Z5</f>
        <v>356.26250000000005</v>
      </c>
      <c r="H5" s="227" t="s">
        <v>1110</v>
      </c>
      <c r="I5" s="329">
        <v>1.75</v>
      </c>
      <c r="J5" s="330"/>
      <c r="K5" s="330">
        <v>1.25</v>
      </c>
      <c r="L5" s="330">
        <f>8.29/2</f>
        <v>4.1449999999999996</v>
      </c>
      <c r="M5" s="330">
        <v>1.61</v>
      </c>
      <c r="N5" s="330">
        <v>5.95</v>
      </c>
      <c r="O5" s="330"/>
      <c r="P5" s="330"/>
      <c r="Q5" s="70">
        <v>10</v>
      </c>
      <c r="R5" s="303">
        <f t="shared" ref="R5:R36" si="2">$F5*Q5</f>
        <v>32.387500000000003</v>
      </c>
      <c r="S5" s="72">
        <v>10</v>
      </c>
      <c r="T5" s="299">
        <f t="shared" ref="T5:T36" si="3">$F5*S5</f>
        <v>32.387500000000003</v>
      </c>
      <c r="U5" s="74">
        <v>50</v>
      </c>
      <c r="V5" s="290">
        <f t="shared" ref="V5:V26" si="4">$F5*U5</f>
        <v>161.9375</v>
      </c>
      <c r="W5" s="76">
        <v>20</v>
      </c>
      <c r="X5" s="282">
        <f t="shared" ref="X5:X16" si="5">$F5*W5</f>
        <v>64.775000000000006</v>
      </c>
      <c r="Y5" s="203">
        <v>20</v>
      </c>
      <c r="Z5" s="272">
        <f t="shared" ref="Z5:Z26" si="6">$F5*Y5</f>
        <v>64.775000000000006</v>
      </c>
    </row>
    <row r="6" spans="1:26" x14ac:dyDescent="0.25">
      <c r="A6" s="125" t="s">
        <v>1113</v>
      </c>
      <c r="B6" s="125">
        <v>21114</v>
      </c>
      <c r="C6" s="127" t="s">
        <v>417</v>
      </c>
      <c r="D6" s="125" t="s">
        <v>229</v>
      </c>
      <c r="E6" s="216">
        <f t="shared" si="0"/>
        <v>80</v>
      </c>
      <c r="F6" s="348">
        <f t="shared" si="1"/>
        <v>14.95</v>
      </c>
      <c r="G6" s="344">
        <f t="shared" ref="G6:G69" si="7">R6+T6+V6+X6+Z6</f>
        <v>1196</v>
      </c>
      <c r="H6" s="222" t="s">
        <v>175</v>
      </c>
      <c r="I6" s="299">
        <v>6.94</v>
      </c>
      <c r="J6" s="330">
        <v>14.95</v>
      </c>
      <c r="K6" s="330">
        <v>4.95</v>
      </c>
      <c r="L6" s="330">
        <v>6.39</v>
      </c>
      <c r="M6" s="330">
        <v>7.17</v>
      </c>
      <c r="N6" s="330"/>
      <c r="O6" s="330">
        <v>7.9</v>
      </c>
      <c r="P6" s="330">
        <v>7</v>
      </c>
      <c r="Q6" s="80">
        <v>10</v>
      </c>
      <c r="R6" s="303">
        <f t="shared" si="2"/>
        <v>149.5</v>
      </c>
      <c r="S6" s="72">
        <v>10</v>
      </c>
      <c r="T6" s="299">
        <f t="shared" si="3"/>
        <v>149.5</v>
      </c>
      <c r="U6" s="74">
        <v>50</v>
      </c>
      <c r="V6" s="290">
        <f t="shared" si="4"/>
        <v>747.5</v>
      </c>
      <c r="W6" s="81">
        <v>5</v>
      </c>
      <c r="X6" s="282">
        <f t="shared" si="5"/>
        <v>74.75</v>
      </c>
      <c r="Y6" s="82">
        <v>5</v>
      </c>
      <c r="Z6" s="272">
        <f t="shared" si="6"/>
        <v>74.75</v>
      </c>
    </row>
    <row r="7" spans="1:26" ht="30" x14ac:dyDescent="0.25">
      <c r="A7" s="125" t="s">
        <v>1377</v>
      </c>
      <c r="B7" s="125">
        <v>299</v>
      </c>
      <c r="C7" s="127" t="s">
        <v>419</v>
      </c>
      <c r="D7" s="125" t="s">
        <v>229</v>
      </c>
      <c r="E7" s="216">
        <f t="shared" si="0"/>
        <v>38</v>
      </c>
      <c r="F7" s="348">
        <f t="shared" si="1"/>
        <v>2.17</v>
      </c>
      <c r="G7" s="344">
        <f t="shared" si="7"/>
        <v>82.460000000000008</v>
      </c>
      <c r="H7" s="222" t="s">
        <v>175</v>
      </c>
      <c r="I7" s="325"/>
      <c r="J7" s="277">
        <v>2.17</v>
      </c>
      <c r="K7" s="325"/>
      <c r="L7" s="325"/>
      <c r="M7" s="325"/>
      <c r="N7" s="325"/>
      <c r="O7" s="325"/>
      <c r="P7" s="325"/>
      <c r="Q7" s="80">
        <v>6</v>
      </c>
      <c r="R7" s="303">
        <f t="shared" si="2"/>
        <v>13.02</v>
      </c>
      <c r="S7" s="72">
        <v>6</v>
      </c>
      <c r="T7" s="299">
        <f t="shared" si="3"/>
        <v>13.02</v>
      </c>
      <c r="U7" s="74">
        <v>12</v>
      </c>
      <c r="V7" s="290">
        <f t="shared" si="4"/>
        <v>26.04</v>
      </c>
      <c r="W7" s="81">
        <v>2</v>
      </c>
      <c r="X7" s="282">
        <f t="shared" si="5"/>
        <v>4.34</v>
      </c>
      <c r="Y7" s="82">
        <v>12</v>
      </c>
      <c r="Z7" s="272">
        <f t="shared" si="6"/>
        <v>26.04</v>
      </c>
    </row>
    <row r="8" spans="1:26" ht="30" x14ac:dyDescent="0.25">
      <c r="A8" s="125" t="s">
        <v>1378</v>
      </c>
      <c r="B8" s="125">
        <v>298</v>
      </c>
      <c r="C8" s="127" t="s">
        <v>422</v>
      </c>
      <c r="D8" s="125" t="s">
        <v>229</v>
      </c>
      <c r="E8" s="216">
        <f t="shared" si="0"/>
        <v>38</v>
      </c>
      <c r="F8" s="348">
        <f t="shared" si="1"/>
        <v>2.1800000000000002</v>
      </c>
      <c r="G8" s="344">
        <f t="shared" si="7"/>
        <v>82.84</v>
      </c>
      <c r="H8" s="222" t="s">
        <v>175</v>
      </c>
      <c r="I8" s="325"/>
      <c r="J8" s="277">
        <v>2.1800000000000002</v>
      </c>
      <c r="K8" s="325"/>
      <c r="L8" s="325"/>
      <c r="M8" s="325"/>
      <c r="N8" s="325"/>
      <c r="O8" s="325"/>
      <c r="P8" s="325"/>
      <c r="Q8" s="80">
        <v>6</v>
      </c>
      <c r="R8" s="303">
        <f t="shared" si="2"/>
        <v>13.080000000000002</v>
      </c>
      <c r="S8" s="72">
        <v>6</v>
      </c>
      <c r="T8" s="299">
        <f t="shared" si="3"/>
        <v>13.080000000000002</v>
      </c>
      <c r="U8" s="74">
        <v>12</v>
      </c>
      <c r="V8" s="290">
        <f t="shared" si="4"/>
        <v>26.160000000000004</v>
      </c>
      <c r="W8" s="81">
        <v>2</v>
      </c>
      <c r="X8" s="282">
        <f t="shared" si="5"/>
        <v>4.3600000000000003</v>
      </c>
      <c r="Y8" s="82">
        <v>12</v>
      </c>
      <c r="Z8" s="272">
        <f t="shared" si="6"/>
        <v>26.160000000000004</v>
      </c>
    </row>
    <row r="9" spans="1:26" ht="30" x14ac:dyDescent="0.25">
      <c r="A9" s="125" t="s">
        <v>1114</v>
      </c>
      <c r="B9">
        <v>300</v>
      </c>
      <c r="C9" s="121" t="s">
        <v>432</v>
      </c>
      <c r="D9" t="s">
        <v>229</v>
      </c>
      <c r="E9" s="216">
        <f t="shared" si="0"/>
        <v>38</v>
      </c>
      <c r="F9" s="349">
        <f t="shared" si="1"/>
        <v>10.039999999999999</v>
      </c>
      <c r="G9" s="344">
        <f t="shared" si="7"/>
        <v>381.52</v>
      </c>
      <c r="H9" s="6" t="s">
        <v>175</v>
      </c>
      <c r="I9" s="278"/>
      <c r="J9" s="270">
        <v>10.039999999999999</v>
      </c>
      <c r="K9" s="278"/>
      <c r="L9" s="278"/>
      <c r="M9" s="278"/>
      <c r="N9" s="278"/>
      <c r="O9" s="278"/>
      <c r="P9" s="278"/>
      <c r="Q9" s="204">
        <v>6</v>
      </c>
      <c r="R9" s="306">
        <f t="shared" si="2"/>
        <v>60.239999999999995</v>
      </c>
      <c r="S9" s="205">
        <v>6</v>
      </c>
      <c r="T9" s="293">
        <f t="shared" si="3"/>
        <v>60.239999999999995</v>
      </c>
      <c r="U9" s="185">
        <v>12</v>
      </c>
      <c r="V9" s="291">
        <f t="shared" si="4"/>
        <v>120.47999999999999</v>
      </c>
      <c r="W9" s="186">
        <v>2</v>
      </c>
      <c r="X9" s="283">
        <f t="shared" si="5"/>
        <v>20.079999999999998</v>
      </c>
      <c r="Y9" s="187">
        <v>12</v>
      </c>
      <c r="Z9" s="273">
        <f t="shared" si="6"/>
        <v>120.47999999999999</v>
      </c>
    </row>
    <row r="10" spans="1:26" ht="30" x14ac:dyDescent="0.25">
      <c r="A10" s="125" t="s">
        <v>1115</v>
      </c>
      <c r="B10">
        <v>20084</v>
      </c>
      <c r="C10" s="121" t="s">
        <v>435</v>
      </c>
      <c r="D10" t="s">
        <v>229</v>
      </c>
      <c r="E10" s="216">
        <f t="shared" si="0"/>
        <v>38</v>
      </c>
      <c r="F10" s="348">
        <f t="shared" si="1"/>
        <v>1.3</v>
      </c>
      <c r="G10" s="344">
        <f t="shared" si="7"/>
        <v>49.400000000000006</v>
      </c>
      <c r="H10" s="6" t="s">
        <v>175</v>
      </c>
      <c r="I10" s="278"/>
      <c r="J10" s="270">
        <v>1.3</v>
      </c>
      <c r="K10" s="278"/>
      <c r="L10" s="278"/>
      <c r="M10" s="278"/>
      <c r="N10" s="278"/>
      <c r="O10" s="278"/>
      <c r="P10" s="278"/>
      <c r="Q10" s="204">
        <v>6</v>
      </c>
      <c r="R10" s="303">
        <f t="shared" si="2"/>
        <v>7.8000000000000007</v>
      </c>
      <c r="S10" s="205">
        <v>6</v>
      </c>
      <c r="T10" s="293">
        <f t="shared" si="3"/>
        <v>7.8000000000000007</v>
      </c>
      <c r="U10" s="185">
        <v>12</v>
      </c>
      <c r="V10" s="291">
        <f t="shared" si="4"/>
        <v>15.600000000000001</v>
      </c>
      <c r="W10" s="186">
        <v>2</v>
      </c>
      <c r="X10" s="283">
        <f t="shared" si="5"/>
        <v>2.6</v>
      </c>
      <c r="Y10" s="187">
        <v>12</v>
      </c>
      <c r="Z10" s="273">
        <f t="shared" si="6"/>
        <v>15.600000000000001</v>
      </c>
    </row>
    <row r="11" spans="1:26" ht="30" x14ac:dyDescent="0.25">
      <c r="A11" s="125" t="s">
        <v>1116</v>
      </c>
      <c r="B11">
        <v>20085</v>
      </c>
      <c r="C11" s="121" t="s">
        <v>438</v>
      </c>
      <c r="D11" t="s">
        <v>229</v>
      </c>
      <c r="E11" s="216">
        <f t="shared" si="0"/>
        <v>36</v>
      </c>
      <c r="F11" s="348">
        <f t="shared" si="1"/>
        <v>1.2</v>
      </c>
      <c r="G11" s="344">
        <f t="shared" si="7"/>
        <v>43.199999999999996</v>
      </c>
      <c r="H11" s="6" t="s">
        <v>175</v>
      </c>
      <c r="I11" s="278"/>
      <c r="J11" s="270">
        <v>1.2</v>
      </c>
      <c r="K11" s="278"/>
      <c r="L11" s="278"/>
      <c r="M11" s="278"/>
      <c r="N11" s="278"/>
      <c r="O11" s="278"/>
      <c r="P11" s="278"/>
      <c r="Q11" s="204">
        <v>6</v>
      </c>
      <c r="R11" s="303">
        <f t="shared" si="2"/>
        <v>7.1999999999999993</v>
      </c>
      <c r="S11" s="205">
        <v>6</v>
      </c>
      <c r="T11" s="293">
        <f t="shared" si="3"/>
        <v>7.1999999999999993</v>
      </c>
      <c r="U11" s="185">
        <v>12</v>
      </c>
      <c r="V11" s="291">
        <f t="shared" si="4"/>
        <v>14.399999999999999</v>
      </c>
      <c r="W11" s="186">
        <v>0</v>
      </c>
      <c r="X11" s="283">
        <f t="shared" si="5"/>
        <v>0</v>
      </c>
      <c r="Y11" s="187">
        <v>12</v>
      </c>
      <c r="Z11" s="273">
        <f t="shared" si="6"/>
        <v>14.399999999999999</v>
      </c>
    </row>
    <row r="12" spans="1:26" ht="30" x14ac:dyDescent="0.25">
      <c r="A12" s="125" t="s">
        <v>1117</v>
      </c>
      <c r="B12">
        <v>311</v>
      </c>
      <c r="C12" s="121" t="s">
        <v>441</v>
      </c>
      <c r="D12" t="s">
        <v>229</v>
      </c>
      <c r="E12" s="216">
        <f t="shared" si="0"/>
        <v>26</v>
      </c>
      <c r="F12" s="348">
        <f t="shared" si="1"/>
        <v>7.77</v>
      </c>
      <c r="G12" s="344">
        <f t="shared" si="7"/>
        <v>202.01999999999998</v>
      </c>
      <c r="H12" s="6" t="s">
        <v>175</v>
      </c>
      <c r="I12" s="278"/>
      <c r="J12" s="270">
        <v>7.77</v>
      </c>
      <c r="K12" s="278"/>
      <c r="L12" s="278"/>
      <c r="M12" s="278"/>
      <c r="N12" s="278"/>
      <c r="O12" s="278"/>
      <c r="P12" s="278"/>
      <c r="Q12" s="204">
        <v>2</v>
      </c>
      <c r="R12" s="303">
        <f t="shared" si="2"/>
        <v>15.54</v>
      </c>
      <c r="S12" s="205">
        <v>3</v>
      </c>
      <c r="T12" s="293">
        <f t="shared" si="3"/>
        <v>23.31</v>
      </c>
      <c r="U12" s="185">
        <v>10</v>
      </c>
      <c r="V12" s="291">
        <f t="shared" si="4"/>
        <v>77.699999999999989</v>
      </c>
      <c r="W12" s="186">
        <v>1</v>
      </c>
      <c r="X12" s="283">
        <f t="shared" si="5"/>
        <v>7.77</v>
      </c>
      <c r="Y12" s="187">
        <v>10</v>
      </c>
      <c r="Z12" s="273">
        <f t="shared" si="6"/>
        <v>77.699999999999989</v>
      </c>
    </row>
    <row r="13" spans="1:26" ht="30" x14ac:dyDescent="0.25">
      <c r="A13" s="125" t="s">
        <v>1118</v>
      </c>
      <c r="B13">
        <v>318</v>
      </c>
      <c r="C13" s="121" t="s">
        <v>444</v>
      </c>
      <c r="D13" t="s">
        <v>229</v>
      </c>
      <c r="E13" s="216">
        <f t="shared" si="0"/>
        <v>27</v>
      </c>
      <c r="F13" s="348">
        <f t="shared" si="1"/>
        <v>13.61</v>
      </c>
      <c r="G13" s="344">
        <f t="shared" si="7"/>
        <v>367.47</v>
      </c>
      <c r="H13" s="6" t="s">
        <v>175</v>
      </c>
      <c r="I13" s="278"/>
      <c r="J13" s="270">
        <v>13.61</v>
      </c>
      <c r="K13" s="278"/>
      <c r="L13" s="278"/>
      <c r="M13" s="278"/>
      <c r="N13" s="278"/>
      <c r="O13" s="278"/>
      <c r="P13" s="278"/>
      <c r="Q13" s="204">
        <v>2</v>
      </c>
      <c r="R13" s="303">
        <f t="shared" si="2"/>
        <v>27.22</v>
      </c>
      <c r="S13" s="205">
        <v>4</v>
      </c>
      <c r="T13" s="293">
        <f t="shared" si="3"/>
        <v>54.44</v>
      </c>
      <c r="U13" s="185">
        <v>10</v>
      </c>
      <c r="V13" s="291">
        <f t="shared" si="4"/>
        <v>136.1</v>
      </c>
      <c r="W13" s="186">
        <v>1</v>
      </c>
      <c r="X13" s="283">
        <f t="shared" si="5"/>
        <v>13.61</v>
      </c>
      <c r="Y13" s="187">
        <v>10</v>
      </c>
      <c r="Z13" s="273">
        <f t="shared" si="6"/>
        <v>136.1</v>
      </c>
    </row>
    <row r="14" spans="1:26" ht="30" x14ac:dyDescent="0.25">
      <c r="A14" s="125" t="s">
        <v>1119</v>
      </c>
      <c r="B14">
        <v>319</v>
      </c>
      <c r="C14" s="121" t="s">
        <v>447</v>
      </c>
      <c r="D14" t="s">
        <v>229</v>
      </c>
      <c r="E14" s="216">
        <f t="shared" si="0"/>
        <v>12</v>
      </c>
      <c r="F14" s="348">
        <f t="shared" si="1"/>
        <v>25.71</v>
      </c>
      <c r="G14" s="344">
        <f t="shared" si="7"/>
        <v>308.52</v>
      </c>
      <c r="H14" s="6" t="s">
        <v>175</v>
      </c>
      <c r="I14" s="278"/>
      <c r="J14" s="270">
        <v>25.71</v>
      </c>
      <c r="K14" s="278"/>
      <c r="L14" s="278"/>
      <c r="M14" s="278"/>
      <c r="N14" s="278"/>
      <c r="O14" s="278"/>
      <c r="P14" s="278"/>
      <c r="Q14" s="204">
        <v>2</v>
      </c>
      <c r="R14" s="303">
        <f t="shared" si="2"/>
        <v>51.42</v>
      </c>
      <c r="S14" s="205">
        <v>2</v>
      </c>
      <c r="T14" s="293">
        <f t="shared" si="3"/>
        <v>51.42</v>
      </c>
      <c r="U14" s="185">
        <v>4</v>
      </c>
      <c r="V14" s="291">
        <f t="shared" si="4"/>
        <v>102.84</v>
      </c>
      <c r="W14" s="186">
        <v>0</v>
      </c>
      <c r="X14" s="283">
        <f t="shared" si="5"/>
        <v>0</v>
      </c>
      <c r="Y14" s="187">
        <v>4</v>
      </c>
      <c r="Z14" s="273">
        <f t="shared" si="6"/>
        <v>102.84</v>
      </c>
    </row>
    <row r="15" spans="1:26" ht="30" x14ac:dyDescent="0.25">
      <c r="A15" s="125" t="s">
        <v>1120</v>
      </c>
      <c r="B15">
        <v>320</v>
      </c>
      <c r="C15" s="121" t="s">
        <v>450</v>
      </c>
      <c r="D15" t="s">
        <v>229</v>
      </c>
      <c r="E15" s="216">
        <f t="shared" si="0"/>
        <v>2</v>
      </c>
      <c r="F15" s="348">
        <f t="shared" si="1"/>
        <v>81.73</v>
      </c>
      <c r="G15" s="344">
        <f t="shared" si="7"/>
        <v>163.46</v>
      </c>
      <c r="H15" s="6" t="s">
        <v>175</v>
      </c>
      <c r="I15" s="278"/>
      <c r="J15" s="270">
        <v>81.73</v>
      </c>
      <c r="K15" s="278"/>
      <c r="L15" s="278"/>
      <c r="M15" s="278"/>
      <c r="N15" s="278"/>
      <c r="O15" s="278"/>
      <c r="P15" s="278"/>
      <c r="Q15" s="204">
        <v>2</v>
      </c>
      <c r="R15" s="303">
        <f t="shared" si="2"/>
        <v>163.46</v>
      </c>
      <c r="S15" s="205">
        <v>0</v>
      </c>
      <c r="T15" s="293">
        <f t="shared" si="3"/>
        <v>0</v>
      </c>
      <c r="U15" s="185">
        <v>0</v>
      </c>
      <c r="V15" s="291">
        <f t="shared" si="4"/>
        <v>0</v>
      </c>
      <c r="W15" s="186">
        <v>0</v>
      </c>
      <c r="X15" s="283">
        <f t="shared" si="5"/>
        <v>0</v>
      </c>
      <c r="Y15" s="187">
        <v>0</v>
      </c>
      <c r="Z15" s="273">
        <f t="shared" si="6"/>
        <v>0</v>
      </c>
    </row>
    <row r="16" spans="1:26" ht="30" x14ac:dyDescent="0.25">
      <c r="A16" s="125" t="s">
        <v>1121</v>
      </c>
      <c r="B16">
        <v>325</v>
      </c>
      <c r="C16" s="121" t="s">
        <v>453</v>
      </c>
      <c r="D16" t="s">
        <v>229</v>
      </c>
      <c r="E16" s="216">
        <f t="shared" si="0"/>
        <v>38</v>
      </c>
      <c r="F16" s="348">
        <f t="shared" si="1"/>
        <v>2.42</v>
      </c>
      <c r="G16" s="344">
        <f t="shared" si="7"/>
        <v>91.960000000000008</v>
      </c>
      <c r="H16" s="6" t="s">
        <v>175</v>
      </c>
      <c r="I16" s="278"/>
      <c r="J16" s="270">
        <v>2.42</v>
      </c>
      <c r="K16" s="278"/>
      <c r="L16" s="278"/>
      <c r="M16" s="278"/>
      <c r="N16" s="278"/>
      <c r="O16" s="278"/>
      <c r="P16" s="278"/>
      <c r="Q16" s="204">
        <v>6</v>
      </c>
      <c r="R16" s="303">
        <f t="shared" si="2"/>
        <v>14.52</v>
      </c>
      <c r="S16" s="205">
        <v>6</v>
      </c>
      <c r="T16" s="293">
        <f t="shared" si="3"/>
        <v>14.52</v>
      </c>
      <c r="U16" s="185">
        <v>12</v>
      </c>
      <c r="V16" s="291">
        <f t="shared" si="4"/>
        <v>29.04</v>
      </c>
      <c r="W16" s="186">
        <v>2</v>
      </c>
      <c r="X16" s="283">
        <f t="shared" si="5"/>
        <v>4.84</v>
      </c>
      <c r="Y16" s="187">
        <v>12</v>
      </c>
      <c r="Z16" s="273">
        <f t="shared" si="6"/>
        <v>29.04</v>
      </c>
    </row>
    <row r="17" spans="1:28" ht="30" x14ac:dyDescent="0.25">
      <c r="A17" s="125" t="s">
        <v>1122</v>
      </c>
      <c r="B17">
        <v>10422</v>
      </c>
      <c r="C17" s="143" t="s">
        <v>539</v>
      </c>
      <c r="D17" s="142" t="s">
        <v>229</v>
      </c>
      <c r="E17" s="216">
        <f t="shared" si="0"/>
        <v>41</v>
      </c>
      <c r="F17" s="348">
        <f t="shared" si="1"/>
        <v>295.16000000000003</v>
      </c>
      <c r="G17" s="344">
        <f t="shared" si="7"/>
        <v>8854.8000000000011</v>
      </c>
      <c r="H17" s="8" t="s">
        <v>175</v>
      </c>
      <c r="I17" s="332"/>
      <c r="J17" s="332">
        <v>295.16000000000003</v>
      </c>
      <c r="K17" s="332"/>
      <c r="L17" s="332"/>
      <c r="M17" s="332"/>
      <c r="N17" s="332"/>
      <c r="O17" s="332"/>
      <c r="P17" s="332"/>
      <c r="Q17" s="204">
        <v>6</v>
      </c>
      <c r="R17" s="303">
        <f t="shared" si="2"/>
        <v>1770.96</v>
      </c>
      <c r="S17" s="205">
        <v>4</v>
      </c>
      <c r="T17" s="293">
        <f t="shared" si="3"/>
        <v>1180.6400000000001</v>
      </c>
      <c r="U17" s="185">
        <v>10</v>
      </c>
      <c r="V17" s="291">
        <f t="shared" si="4"/>
        <v>2951.6000000000004</v>
      </c>
      <c r="W17" s="186">
        <v>11</v>
      </c>
      <c r="X17" s="283">
        <v>0</v>
      </c>
      <c r="Y17" s="187">
        <v>10</v>
      </c>
      <c r="Z17" s="273">
        <f t="shared" si="6"/>
        <v>2951.6000000000004</v>
      </c>
    </row>
    <row r="18" spans="1:28" ht="30" x14ac:dyDescent="0.25">
      <c r="A18" s="125" t="s">
        <v>1123</v>
      </c>
      <c r="B18">
        <v>10420</v>
      </c>
      <c r="C18" s="143" t="s">
        <v>540</v>
      </c>
      <c r="D18" s="142" t="s">
        <v>229</v>
      </c>
      <c r="E18" s="216">
        <f t="shared" si="0"/>
        <v>140</v>
      </c>
      <c r="F18" s="348">
        <f t="shared" si="1"/>
        <v>113.215</v>
      </c>
      <c r="G18" s="344">
        <f t="shared" si="7"/>
        <v>15850.1</v>
      </c>
      <c r="H18" s="8" t="s">
        <v>1100</v>
      </c>
      <c r="I18" s="386">
        <v>102.7</v>
      </c>
      <c r="J18" s="327">
        <v>110.7</v>
      </c>
      <c r="K18" s="327">
        <v>127</v>
      </c>
      <c r="L18" s="327"/>
      <c r="M18" s="327"/>
      <c r="N18" s="327"/>
      <c r="O18" s="327">
        <v>83.16</v>
      </c>
      <c r="P18" s="327">
        <v>132</v>
      </c>
      <c r="Q18" s="204">
        <v>20</v>
      </c>
      <c r="R18" s="303">
        <f t="shared" si="2"/>
        <v>2264.3000000000002</v>
      </c>
      <c r="S18" s="205">
        <v>10</v>
      </c>
      <c r="T18" s="293">
        <f t="shared" si="3"/>
        <v>1132.1500000000001</v>
      </c>
      <c r="U18" s="185">
        <v>100</v>
      </c>
      <c r="V18" s="291">
        <f t="shared" si="4"/>
        <v>11321.5</v>
      </c>
      <c r="W18" s="186">
        <v>0</v>
      </c>
      <c r="X18" s="283">
        <f t="shared" ref="X18:X25" si="8">$F18*W18</f>
        <v>0</v>
      </c>
      <c r="Y18" s="187">
        <v>10</v>
      </c>
      <c r="Z18" s="273">
        <f t="shared" si="6"/>
        <v>1132.1500000000001</v>
      </c>
    </row>
    <row r="19" spans="1:28" ht="30" x14ac:dyDescent="0.25">
      <c r="A19" s="125" t="s">
        <v>1124</v>
      </c>
      <c r="B19" s="142">
        <v>11786</v>
      </c>
      <c r="C19" s="143" t="s">
        <v>1171</v>
      </c>
      <c r="D19" s="142" t="s">
        <v>229</v>
      </c>
      <c r="E19" s="216">
        <f t="shared" si="0"/>
        <v>18</v>
      </c>
      <c r="F19" s="348">
        <f t="shared" si="1"/>
        <v>247.42</v>
      </c>
      <c r="G19" s="344">
        <f t="shared" si="7"/>
        <v>4453.5599999999995</v>
      </c>
      <c r="H19" s="8" t="s">
        <v>175</v>
      </c>
      <c r="I19" s="332"/>
      <c r="J19" s="327">
        <v>247.42</v>
      </c>
      <c r="K19" s="327"/>
      <c r="L19" s="327"/>
      <c r="M19" s="327"/>
      <c r="N19" s="327"/>
      <c r="O19" s="327">
        <v>288.66000000000003</v>
      </c>
      <c r="P19" s="327"/>
      <c r="Q19" s="204">
        <v>6</v>
      </c>
      <c r="R19" s="303">
        <f t="shared" si="2"/>
        <v>1484.52</v>
      </c>
      <c r="S19" s="205">
        <v>0</v>
      </c>
      <c r="T19" s="293">
        <f t="shared" si="3"/>
        <v>0</v>
      </c>
      <c r="U19" s="185">
        <v>12</v>
      </c>
      <c r="V19" s="291">
        <f t="shared" si="4"/>
        <v>2969.04</v>
      </c>
      <c r="W19" s="186">
        <v>0</v>
      </c>
      <c r="X19" s="283">
        <f t="shared" si="8"/>
        <v>0</v>
      </c>
      <c r="Y19" s="187">
        <v>0</v>
      </c>
      <c r="Z19" s="273">
        <f t="shared" si="6"/>
        <v>0</v>
      </c>
      <c r="AA19" s="66"/>
      <c r="AB19" s="66"/>
    </row>
    <row r="20" spans="1:28" ht="30" x14ac:dyDescent="0.25">
      <c r="A20" s="125" t="s">
        <v>1125</v>
      </c>
      <c r="B20">
        <v>11685</v>
      </c>
      <c r="C20" s="127" t="s">
        <v>547</v>
      </c>
      <c r="D20" s="125" t="s">
        <v>229</v>
      </c>
      <c r="E20" s="216">
        <f t="shared" si="0"/>
        <v>15</v>
      </c>
      <c r="F20" s="348">
        <f t="shared" si="1"/>
        <v>25.84</v>
      </c>
      <c r="G20" s="344">
        <f t="shared" si="7"/>
        <v>387.59999999999997</v>
      </c>
      <c r="H20" s="222" t="s">
        <v>175</v>
      </c>
      <c r="I20" s="325"/>
      <c r="J20" s="325">
        <v>25.84</v>
      </c>
      <c r="K20" s="325"/>
      <c r="L20" s="325"/>
      <c r="M20" s="325"/>
      <c r="N20" s="325"/>
      <c r="O20" s="325"/>
      <c r="P20" s="325"/>
      <c r="Q20" s="80">
        <v>2</v>
      </c>
      <c r="R20" s="303">
        <f t="shared" si="2"/>
        <v>51.68</v>
      </c>
      <c r="S20" s="72">
        <v>4</v>
      </c>
      <c r="T20" s="293">
        <f t="shared" si="3"/>
        <v>103.36</v>
      </c>
      <c r="U20" s="74">
        <v>6</v>
      </c>
      <c r="V20" s="290">
        <f t="shared" si="4"/>
        <v>155.04</v>
      </c>
      <c r="W20" s="81">
        <v>0</v>
      </c>
      <c r="X20" s="282">
        <f t="shared" si="8"/>
        <v>0</v>
      </c>
      <c r="Y20" s="82">
        <v>3</v>
      </c>
      <c r="Z20" s="272">
        <f t="shared" si="6"/>
        <v>77.52</v>
      </c>
    </row>
    <row r="21" spans="1:28" ht="30" x14ac:dyDescent="0.25">
      <c r="A21" s="125" t="s">
        <v>1126</v>
      </c>
      <c r="B21">
        <v>11679</v>
      </c>
      <c r="C21" s="127" t="s">
        <v>548</v>
      </c>
      <c r="D21" s="125" t="s">
        <v>229</v>
      </c>
      <c r="E21" s="216">
        <f t="shared" si="0"/>
        <v>15</v>
      </c>
      <c r="F21" s="348">
        <f t="shared" si="1"/>
        <v>5.58</v>
      </c>
      <c r="G21" s="344">
        <f t="shared" si="7"/>
        <v>83.700000000000017</v>
      </c>
      <c r="H21" s="222" t="s">
        <v>175</v>
      </c>
      <c r="I21" s="325"/>
      <c r="J21" s="325">
        <v>5.58</v>
      </c>
      <c r="K21" s="325"/>
      <c r="L21" s="325"/>
      <c r="M21" s="325"/>
      <c r="N21" s="325"/>
      <c r="O21" s="325"/>
      <c r="P21" s="325"/>
      <c r="Q21" s="80">
        <v>2</v>
      </c>
      <c r="R21" s="303">
        <f t="shared" si="2"/>
        <v>11.16</v>
      </c>
      <c r="S21" s="72">
        <v>4</v>
      </c>
      <c r="T21" s="293">
        <f t="shared" si="3"/>
        <v>22.32</v>
      </c>
      <c r="U21" s="74">
        <v>6</v>
      </c>
      <c r="V21" s="290">
        <f t="shared" si="4"/>
        <v>33.480000000000004</v>
      </c>
      <c r="W21" s="81">
        <v>0</v>
      </c>
      <c r="X21" s="282">
        <f t="shared" si="8"/>
        <v>0</v>
      </c>
      <c r="Y21" s="82">
        <v>3</v>
      </c>
      <c r="Z21" s="272">
        <f t="shared" si="6"/>
        <v>16.740000000000002</v>
      </c>
    </row>
    <row r="22" spans="1:28" ht="30" x14ac:dyDescent="0.25">
      <c r="A22" s="125" t="s">
        <v>1379</v>
      </c>
      <c r="B22">
        <v>42685</v>
      </c>
      <c r="C22" s="127" t="s">
        <v>458</v>
      </c>
      <c r="D22" s="125" t="s">
        <v>229</v>
      </c>
      <c r="E22" s="216">
        <f t="shared" si="0"/>
        <v>31</v>
      </c>
      <c r="F22" s="348">
        <f t="shared" si="1"/>
        <v>46.84</v>
      </c>
      <c r="G22" s="344">
        <f t="shared" si="7"/>
        <v>1452.04</v>
      </c>
      <c r="H22" s="222" t="s">
        <v>175</v>
      </c>
      <c r="I22" s="384"/>
      <c r="J22" s="387">
        <v>46.84</v>
      </c>
      <c r="K22" s="387"/>
      <c r="L22" s="384"/>
      <c r="M22" s="387"/>
      <c r="N22" s="384"/>
      <c r="O22" s="384"/>
      <c r="P22" s="384"/>
      <c r="Q22" s="198">
        <v>6</v>
      </c>
      <c r="R22" s="303">
        <f t="shared" si="2"/>
        <v>281.04000000000002</v>
      </c>
      <c r="S22" s="199">
        <v>3</v>
      </c>
      <c r="T22" s="293">
        <f t="shared" si="3"/>
        <v>140.52000000000001</v>
      </c>
      <c r="U22" s="200">
        <v>10</v>
      </c>
      <c r="V22" s="292">
        <f t="shared" si="4"/>
        <v>468.40000000000003</v>
      </c>
      <c r="W22" s="201">
        <v>6</v>
      </c>
      <c r="X22" s="284">
        <f t="shared" si="8"/>
        <v>281.04000000000002</v>
      </c>
      <c r="Y22" s="202">
        <v>6</v>
      </c>
      <c r="Z22" s="274">
        <f t="shared" si="6"/>
        <v>281.04000000000002</v>
      </c>
    </row>
    <row r="23" spans="1:28" s="66" customFormat="1" ht="30" x14ac:dyDescent="0.25">
      <c r="A23" s="125" t="s">
        <v>1127</v>
      </c>
      <c r="B23" s="178">
        <v>42686</v>
      </c>
      <c r="C23" s="127" t="s">
        <v>460</v>
      </c>
      <c r="D23" s="125" t="s">
        <v>229</v>
      </c>
      <c r="E23" s="216">
        <f t="shared" si="0"/>
        <v>15</v>
      </c>
      <c r="F23" s="348">
        <f t="shared" si="1"/>
        <v>72.930000000000007</v>
      </c>
      <c r="G23" s="344">
        <f t="shared" si="7"/>
        <v>1093.95</v>
      </c>
      <c r="H23" s="222" t="s">
        <v>175</v>
      </c>
      <c r="I23" s="325"/>
      <c r="J23" s="333">
        <v>72.930000000000007</v>
      </c>
      <c r="K23" s="333"/>
      <c r="L23" s="325"/>
      <c r="M23" s="333"/>
      <c r="N23" s="325"/>
      <c r="O23" s="325"/>
      <c r="P23" s="325"/>
      <c r="Q23" s="80">
        <v>3</v>
      </c>
      <c r="R23" s="303">
        <f t="shared" si="2"/>
        <v>218.79000000000002</v>
      </c>
      <c r="S23" s="72">
        <v>3</v>
      </c>
      <c r="T23" s="293">
        <f t="shared" si="3"/>
        <v>218.79000000000002</v>
      </c>
      <c r="U23" s="74">
        <v>3</v>
      </c>
      <c r="V23" s="290">
        <f t="shared" si="4"/>
        <v>218.79000000000002</v>
      </c>
      <c r="W23" s="81">
        <v>3</v>
      </c>
      <c r="X23" s="282">
        <f t="shared" si="8"/>
        <v>218.79000000000002</v>
      </c>
      <c r="Y23" s="82">
        <v>3</v>
      </c>
      <c r="Z23" s="272">
        <f t="shared" si="6"/>
        <v>218.79000000000002</v>
      </c>
      <c r="AA23"/>
      <c r="AB23"/>
    </row>
    <row r="24" spans="1:28" ht="45" x14ac:dyDescent="0.25">
      <c r="A24" s="125" t="s">
        <v>1128</v>
      </c>
      <c r="B24" s="142">
        <v>6142</v>
      </c>
      <c r="C24" s="127" t="s">
        <v>461</v>
      </c>
      <c r="D24" s="125" t="s">
        <v>229</v>
      </c>
      <c r="E24" s="216">
        <f t="shared" si="0"/>
        <v>45</v>
      </c>
      <c r="F24" s="348">
        <f t="shared" si="1"/>
        <v>5.0999999999999996</v>
      </c>
      <c r="G24" s="344">
        <f t="shared" si="7"/>
        <v>229.5</v>
      </c>
      <c r="H24" s="222" t="s">
        <v>175</v>
      </c>
      <c r="I24" s="325"/>
      <c r="J24" s="325">
        <v>5.0999999999999996</v>
      </c>
      <c r="K24" s="325"/>
      <c r="L24" s="325"/>
      <c r="M24" s="325"/>
      <c r="N24" s="325"/>
      <c r="O24" s="325"/>
      <c r="P24" s="325"/>
      <c r="Q24" s="80">
        <v>6</v>
      </c>
      <c r="R24" s="303">
        <f t="shared" si="2"/>
        <v>30.599999999999998</v>
      </c>
      <c r="S24" s="184">
        <v>6</v>
      </c>
      <c r="T24" s="293">
        <f t="shared" si="3"/>
        <v>30.599999999999998</v>
      </c>
      <c r="U24" s="185">
        <v>20</v>
      </c>
      <c r="V24" s="291">
        <f t="shared" si="4"/>
        <v>102</v>
      </c>
      <c r="W24" s="186">
        <v>3</v>
      </c>
      <c r="X24" s="283">
        <f t="shared" si="8"/>
        <v>15.299999999999999</v>
      </c>
      <c r="Y24" s="187">
        <v>10</v>
      </c>
      <c r="Z24" s="273">
        <f t="shared" si="6"/>
        <v>51</v>
      </c>
    </row>
    <row r="25" spans="1:28" ht="45" x14ac:dyDescent="0.25">
      <c r="A25" s="125" t="s">
        <v>1129</v>
      </c>
      <c r="B25">
        <v>11686</v>
      </c>
      <c r="C25" s="127" t="s">
        <v>462</v>
      </c>
      <c r="D25" s="125" t="s">
        <v>229</v>
      </c>
      <c r="E25" s="216">
        <f t="shared" si="0"/>
        <v>42</v>
      </c>
      <c r="F25" s="348">
        <f t="shared" si="1"/>
        <v>7.09</v>
      </c>
      <c r="G25" s="344">
        <f t="shared" si="7"/>
        <v>297.77999999999997</v>
      </c>
      <c r="H25" s="222" t="s">
        <v>175</v>
      </c>
      <c r="I25" s="325"/>
      <c r="J25" s="325">
        <v>7.09</v>
      </c>
      <c r="K25" s="325"/>
      <c r="L25" s="325"/>
      <c r="M25" s="325"/>
      <c r="N25" s="325"/>
      <c r="O25" s="325"/>
      <c r="P25" s="325"/>
      <c r="Q25" s="80">
        <v>6</v>
      </c>
      <c r="R25" s="303">
        <f t="shared" si="2"/>
        <v>42.54</v>
      </c>
      <c r="S25" s="184">
        <v>6</v>
      </c>
      <c r="T25" s="293">
        <f t="shared" si="3"/>
        <v>42.54</v>
      </c>
      <c r="U25" s="185">
        <v>20</v>
      </c>
      <c r="V25" s="291">
        <f t="shared" si="4"/>
        <v>141.80000000000001</v>
      </c>
      <c r="W25" s="186">
        <v>0</v>
      </c>
      <c r="X25" s="283">
        <f t="shared" si="8"/>
        <v>0</v>
      </c>
      <c r="Y25" s="187">
        <v>10</v>
      </c>
      <c r="Z25" s="273">
        <f t="shared" si="6"/>
        <v>70.900000000000006</v>
      </c>
    </row>
    <row r="26" spans="1:28" ht="30" x14ac:dyDescent="0.25">
      <c r="A26" s="125" t="s">
        <v>1380</v>
      </c>
      <c r="B26">
        <v>37416</v>
      </c>
      <c r="C26" s="127" t="s">
        <v>466</v>
      </c>
      <c r="D26" s="125" t="s">
        <v>229</v>
      </c>
      <c r="E26" s="216">
        <f t="shared" si="0"/>
        <v>40</v>
      </c>
      <c r="F26" s="348">
        <f t="shared" si="1"/>
        <v>2.98</v>
      </c>
      <c r="G26" s="344">
        <f t="shared" si="7"/>
        <v>119.2</v>
      </c>
      <c r="H26" s="222" t="s">
        <v>175</v>
      </c>
      <c r="I26" s="325"/>
      <c r="J26" s="325">
        <v>2.98</v>
      </c>
      <c r="K26" s="325"/>
      <c r="L26" s="325"/>
      <c r="M26" s="325"/>
      <c r="N26" s="325"/>
      <c r="O26" s="325"/>
      <c r="P26" s="325"/>
      <c r="Q26" s="80">
        <v>10</v>
      </c>
      <c r="R26" s="303">
        <f t="shared" si="2"/>
        <v>29.8</v>
      </c>
      <c r="S26" s="184">
        <v>10</v>
      </c>
      <c r="T26" s="293">
        <f t="shared" si="3"/>
        <v>29.8</v>
      </c>
      <c r="U26" s="185">
        <v>10</v>
      </c>
      <c r="V26" s="291">
        <f t="shared" si="4"/>
        <v>29.8</v>
      </c>
      <c r="W26" s="142"/>
      <c r="X26" s="269"/>
      <c r="Y26" s="188">
        <v>10</v>
      </c>
      <c r="Z26" s="273">
        <f t="shared" si="6"/>
        <v>29.8</v>
      </c>
    </row>
    <row r="27" spans="1:28" ht="30" x14ac:dyDescent="0.25">
      <c r="A27" s="125" t="s">
        <v>1130</v>
      </c>
      <c r="B27">
        <v>37417</v>
      </c>
      <c r="C27" s="127" t="s">
        <v>467</v>
      </c>
      <c r="D27" s="125" t="s">
        <v>229</v>
      </c>
      <c r="E27" s="216">
        <f t="shared" si="0"/>
        <v>0</v>
      </c>
      <c r="F27" s="348">
        <f t="shared" si="1"/>
        <v>4.29</v>
      </c>
      <c r="G27" s="344">
        <f t="shared" si="7"/>
        <v>0</v>
      </c>
      <c r="H27" s="222" t="s">
        <v>175</v>
      </c>
      <c r="I27" s="325"/>
      <c r="J27" s="325">
        <v>4.29</v>
      </c>
      <c r="K27" s="325"/>
      <c r="L27" s="325"/>
      <c r="M27" s="325"/>
      <c r="N27" s="325"/>
      <c r="O27" s="325"/>
      <c r="P27" s="325"/>
      <c r="Q27" s="125"/>
      <c r="R27" s="303">
        <f t="shared" si="2"/>
        <v>0</v>
      </c>
      <c r="T27" s="293">
        <f t="shared" si="3"/>
        <v>0</v>
      </c>
    </row>
    <row r="28" spans="1:28" ht="45" x14ac:dyDescent="0.25">
      <c r="A28" s="125" t="s">
        <v>1131</v>
      </c>
      <c r="B28">
        <v>37413</v>
      </c>
      <c r="C28" s="127" t="s">
        <v>463</v>
      </c>
      <c r="D28" s="125" t="s">
        <v>229</v>
      </c>
      <c r="E28" s="216">
        <f t="shared" si="0"/>
        <v>0</v>
      </c>
      <c r="F28" s="348">
        <f t="shared" si="1"/>
        <v>3.19</v>
      </c>
      <c r="G28" s="344">
        <f t="shared" si="7"/>
        <v>0</v>
      </c>
      <c r="H28" s="222" t="s">
        <v>175</v>
      </c>
      <c r="I28" s="325"/>
      <c r="J28" s="325">
        <v>3.19</v>
      </c>
      <c r="K28" s="325"/>
      <c r="L28" s="325"/>
      <c r="M28" s="325"/>
      <c r="N28" s="325"/>
      <c r="O28" s="325"/>
      <c r="P28" s="325"/>
      <c r="Q28" s="125"/>
      <c r="R28" s="303">
        <f t="shared" si="2"/>
        <v>0</v>
      </c>
      <c r="T28" s="293">
        <f t="shared" si="3"/>
        <v>0</v>
      </c>
    </row>
    <row r="29" spans="1:28" ht="45" x14ac:dyDescent="0.25">
      <c r="A29" s="125" t="s">
        <v>1132</v>
      </c>
      <c r="B29">
        <v>37414</v>
      </c>
      <c r="C29" s="127" t="s">
        <v>464</v>
      </c>
      <c r="D29" s="125" t="s">
        <v>229</v>
      </c>
      <c r="E29" s="216">
        <f t="shared" si="0"/>
        <v>0</v>
      </c>
      <c r="F29" s="348">
        <f t="shared" si="1"/>
        <v>3.62</v>
      </c>
      <c r="G29" s="344">
        <f t="shared" si="7"/>
        <v>0</v>
      </c>
      <c r="H29" s="222" t="s">
        <v>175</v>
      </c>
      <c r="I29" s="325"/>
      <c r="J29" s="325">
        <v>3.62</v>
      </c>
      <c r="K29" s="325"/>
      <c r="L29" s="325"/>
      <c r="M29" s="325"/>
      <c r="N29" s="325"/>
      <c r="O29" s="325"/>
      <c r="P29" s="325"/>
      <c r="Q29" s="125"/>
      <c r="R29" s="303">
        <f t="shared" si="2"/>
        <v>0</v>
      </c>
      <c r="T29" s="293">
        <f t="shared" si="3"/>
        <v>0</v>
      </c>
    </row>
    <row r="30" spans="1:28" ht="45" x14ac:dyDescent="0.25">
      <c r="A30" s="125" t="s">
        <v>1381</v>
      </c>
      <c r="B30">
        <v>37415</v>
      </c>
      <c r="C30" s="127" t="s">
        <v>465</v>
      </c>
      <c r="D30" s="125" t="s">
        <v>229</v>
      </c>
      <c r="E30" s="216">
        <f t="shared" si="0"/>
        <v>0</v>
      </c>
      <c r="F30" s="348">
        <f t="shared" si="1"/>
        <v>6.58</v>
      </c>
      <c r="G30" s="344">
        <f t="shared" si="7"/>
        <v>0</v>
      </c>
      <c r="H30" s="222" t="s">
        <v>175</v>
      </c>
      <c r="I30" s="325"/>
      <c r="J30" s="325">
        <v>6.58</v>
      </c>
      <c r="K30" s="325"/>
      <c r="L30" s="325"/>
      <c r="M30" s="325"/>
      <c r="N30" s="325"/>
      <c r="O30" s="325"/>
      <c r="P30" s="325"/>
      <c r="Q30" s="125"/>
      <c r="R30" s="303">
        <f t="shared" si="2"/>
        <v>0</v>
      </c>
      <c r="T30" s="293">
        <f t="shared" si="3"/>
        <v>0</v>
      </c>
    </row>
    <row r="31" spans="1:28" ht="45" x14ac:dyDescent="0.25">
      <c r="A31" s="125" t="s">
        <v>1133</v>
      </c>
      <c r="B31">
        <v>42692</v>
      </c>
      <c r="C31" s="127" t="s">
        <v>468</v>
      </c>
      <c r="D31" s="125" t="s">
        <v>229</v>
      </c>
      <c r="E31" s="216">
        <f t="shared" si="0"/>
        <v>0</v>
      </c>
      <c r="F31" s="348">
        <f t="shared" si="1"/>
        <v>249</v>
      </c>
      <c r="G31" s="344">
        <f t="shared" si="7"/>
        <v>0</v>
      </c>
      <c r="H31" s="222" t="s">
        <v>175</v>
      </c>
      <c r="I31" s="325"/>
      <c r="J31" s="325">
        <v>249</v>
      </c>
      <c r="K31" s="325"/>
      <c r="L31" s="325"/>
      <c r="M31" s="325"/>
      <c r="N31" s="325"/>
      <c r="O31" s="325"/>
      <c r="P31" s="325"/>
      <c r="Q31" s="125"/>
      <c r="R31" s="303">
        <f t="shared" si="2"/>
        <v>0</v>
      </c>
      <c r="T31" s="293">
        <f t="shared" si="3"/>
        <v>0</v>
      </c>
    </row>
    <row r="32" spans="1:28" ht="45" x14ac:dyDescent="0.25">
      <c r="A32" s="125" t="s">
        <v>1134</v>
      </c>
      <c r="B32">
        <v>42693</v>
      </c>
      <c r="C32" s="127" t="s">
        <v>469</v>
      </c>
      <c r="D32" s="125" t="s">
        <v>229</v>
      </c>
      <c r="E32" s="216">
        <f t="shared" si="0"/>
        <v>0</v>
      </c>
      <c r="F32" s="348">
        <f t="shared" si="1"/>
        <v>409.59</v>
      </c>
      <c r="G32" s="344">
        <f t="shared" si="7"/>
        <v>0</v>
      </c>
      <c r="H32" s="222" t="s">
        <v>175</v>
      </c>
      <c r="I32" s="325"/>
      <c r="J32" s="325">
        <v>409.59</v>
      </c>
      <c r="K32" s="325"/>
      <c r="L32" s="325"/>
      <c r="M32" s="325"/>
      <c r="N32" s="325"/>
      <c r="O32" s="325"/>
      <c r="P32" s="325"/>
      <c r="Q32" s="125"/>
      <c r="R32" s="303">
        <f t="shared" si="2"/>
        <v>0</v>
      </c>
      <c r="T32" s="293">
        <f t="shared" si="3"/>
        <v>0</v>
      </c>
    </row>
    <row r="33" spans="1:26" ht="45" x14ac:dyDescent="0.25">
      <c r="A33" s="125" t="s">
        <v>1135</v>
      </c>
      <c r="B33">
        <v>42695</v>
      </c>
      <c r="C33" s="127" t="s">
        <v>470</v>
      </c>
      <c r="D33" s="125" t="s">
        <v>229</v>
      </c>
      <c r="E33" s="216">
        <f t="shared" si="0"/>
        <v>0</v>
      </c>
      <c r="F33" s="348">
        <f t="shared" si="1"/>
        <v>311.43</v>
      </c>
      <c r="G33" s="344">
        <f t="shared" si="7"/>
        <v>0</v>
      </c>
      <c r="H33" s="222" t="s">
        <v>175</v>
      </c>
      <c r="I33" s="325"/>
      <c r="J33" s="325">
        <v>311.43</v>
      </c>
      <c r="K33" s="325"/>
      <c r="L33" s="325"/>
      <c r="M33" s="325"/>
      <c r="N33" s="325"/>
      <c r="O33" s="325"/>
      <c r="P33" s="325"/>
      <c r="Q33" s="125"/>
      <c r="R33" s="303">
        <f t="shared" si="2"/>
        <v>0</v>
      </c>
      <c r="T33" s="293">
        <f t="shared" si="3"/>
        <v>0</v>
      </c>
    </row>
    <row r="34" spans="1:26" ht="45" x14ac:dyDescent="0.25">
      <c r="A34" s="125" t="s">
        <v>1136</v>
      </c>
      <c r="B34">
        <v>42694</v>
      </c>
      <c r="C34" s="127" t="s">
        <v>471</v>
      </c>
      <c r="D34" s="125" t="s">
        <v>229</v>
      </c>
      <c r="E34" s="216">
        <f t="shared" si="0"/>
        <v>0</v>
      </c>
      <c r="F34" s="348">
        <f t="shared" si="1"/>
        <v>460.41</v>
      </c>
      <c r="G34" s="344">
        <f t="shared" si="7"/>
        <v>0</v>
      </c>
      <c r="H34" s="222" t="s">
        <v>175</v>
      </c>
      <c r="I34" s="325"/>
      <c r="J34" s="325">
        <v>460.41</v>
      </c>
      <c r="K34" s="325"/>
      <c r="L34" s="325"/>
      <c r="M34" s="325"/>
      <c r="N34" s="325"/>
      <c r="O34" s="325"/>
      <c r="P34" s="325"/>
      <c r="Q34" s="125"/>
      <c r="R34" s="303">
        <f t="shared" si="2"/>
        <v>0</v>
      </c>
      <c r="T34" s="293">
        <f t="shared" si="3"/>
        <v>0</v>
      </c>
    </row>
    <row r="35" spans="1:26" ht="30" x14ac:dyDescent="0.25">
      <c r="A35" s="125" t="s">
        <v>1137</v>
      </c>
      <c r="B35">
        <v>38870</v>
      </c>
      <c r="C35" s="127" t="s">
        <v>472</v>
      </c>
      <c r="D35" s="125" t="s">
        <v>229</v>
      </c>
      <c r="E35" s="216">
        <f t="shared" si="0"/>
        <v>0</v>
      </c>
      <c r="F35" s="348">
        <f t="shared" si="1"/>
        <v>32.659999999999997</v>
      </c>
      <c r="G35" s="344">
        <f t="shared" si="7"/>
        <v>0</v>
      </c>
      <c r="H35" s="222" t="s">
        <v>175</v>
      </c>
      <c r="I35" s="325"/>
      <c r="J35" s="325">
        <v>32.659999999999997</v>
      </c>
      <c r="K35" s="325"/>
      <c r="L35" s="325"/>
      <c r="M35" s="325"/>
      <c r="N35" s="325"/>
      <c r="O35" s="325"/>
      <c r="P35" s="325"/>
      <c r="Q35" s="125"/>
      <c r="R35" s="303">
        <f t="shared" si="2"/>
        <v>0</v>
      </c>
      <c r="T35" s="293">
        <f t="shared" si="3"/>
        <v>0</v>
      </c>
    </row>
    <row r="36" spans="1:26" ht="30" x14ac:dyDescent="0.25">
      <c r="A36" s="125" t="s">
        <v>1138</v>
      </c>
      <c r="B36">
        <v>38869</v>
      </c>
      <c r="C36" s="127" t="s">
        <v>473</v>
      </c>
      <c r="D36" s="125" t="s">
        <v>229</v>
      </c>
      <c r="E36" s="216">
        <f t="shared" si="0"/>
        <v>0</v>
      </c>
      <c r="F36" s="348">
        <f t="shared" si="1"/>
        <v>28.81</v>
      </c>
      <c r="G36" s="344">
        <f t="shared" si="7"/>
        <v>0</v>
      </c>
      <c r="H36" s="222" t="s">
        <v>175</v>
      </c>
      <c r="I36" s="325"/>
      <c r="J36" s="325">
        <v>28.81</v>
      </c>
      <c r="K36" s="325"/>
      <c r="L36" s="325"/>
      <c r="M36" s="325"/>
      <c r="N36" s="325"/>
      <c r="O36" s="325"/>
      <c r="P36" s="325"/>
      <c r="Q36" s="125"/>
      <c r="R36" s="303">
        <f t="shared" si="2"/>
        <v>0</v>
      </c>
      <c r="T36" s="293">
        <f t="shared" si="3"/>
        <v>0</v>
      </c>
    </row>
    <row r="37" spans="1:26" ht="30" x14ac:dyDescent="0.25">
      <c r="A37" s="125" t="s">
        <v>1139</v>
      </c>
      <c r="B37">
        <v>38872</v>
      </c>
      <c r="C37" s="127" t="s">
        <v>474</v>
      </c>
      <c r="D37" s="125" t="s">
        <v>229</v>
      </c>
      <c r="E37" s="216">
        <f t="shared" si="0"/>
        <v>0</v>
      </c>
      <c r="F37" s="348">
        <f t="shared" ref="F37:F68" si="9">IF(H37="SINAPI",J37,AVERAGE(J37:P37))</f>
        <v>44.61</v>
      </c>
      <c r="G37" s="344">
        <f t="shared" si="7"/>
        <v>0</v>
      </c>
      <c r="H37" s="222" t="s">
        <v>175</v>
      </c>
      <c r="I37" s="325"/>
      <c r="J37" s="325">
        <v>44.61</v>
      </c>
      <c r="K37" s="325"/>
      <c r="L37" s="325"/>
      <c r="M37" s="325"/>
      <c r="N37" s="325"/>
      <c r="O37" s="325"/>
      <c r="P37" s="325"/>
      <c r="Q37" s="125"/>
      <c r="R37" s="303">
        <f t="shared" ref="R37:R68" si="10">$F37*Q37</f>
        <v>0</v>
      </c>
      <c r="T37" s="293">
        <f t="shared" ref="T37:T68" si="11">$F37*S37</f>
        <v>0</v>
      </c>
    </row>
    <row r="38" spans="1:26" ht="30" x14ac:dyDescent="0.25">
      <c r="A38" s="125" t="s">
        <v>1140</v>
      </c>
      <c r="B38">
        <v>38871</v>
      </c>
      <c r="C38" s="127" t="s">
        <v>475</v>
      </c>
      <c r="D38" s="125" t="s">
        <v>229</v>
      </c>
      <c r="E38" s="216">
        <f t="shared" si="0"/>
        <v>0</v>
      </c>
      <c r="F38" s="348">
        <f t="shared" si="9"/>
        <v>35.89</v>
      </c>
      <c r="G38" s="344">
        <f t="shared" si="7"/>
        <v>0</v>
      </c>
      <c r="H38" s="222" t="s">
        <v>175</v>
      </c>
      <c r="I38" s="325"/>
      <c r="J38" s="325">
        <v>35.89</v>
      </c>
      <c r="K38" s="325"/>
      <c r="L38" s="325"/>
      <c r="M38" s="325"/>
      <c r="N38" s="325"/>
      <c r="O38" s="325"/>
      <c r="P38" s="325"/>
      <c r="Q38" s="125"/>
      <c r="R38" s="303">
        <f t="shared" si="10"/>
        <v>0</v>
      </c>
      <c r="T38" s="293">
        <f t="shared" si="11"/>
        <v>0</v>
      </c>
    </row>
    <row r="39" spans="1:26" ht="30" x14ac:dyDescent="0.25">
      <c r="A39" s="125" t="s">
        <v>1141</v>
      </c>
      <c r="B39">
        <v>39284</v>
      </c>
      <c r="C39" s="127" t="s">
        <v>476</v>
      </c>
      <c r="D39" s="125" t="s">
        <v>229</v>
      </c>
      <c r="E39" s="216">
        <f t="shared" si="0"/>
        <v>0</v>
      </c>
      <c r="F39" s="350">
        <f t="shared" si="9"/>
        <v>121.14</v>
      </c>
      <c r="G39" s="344">
        <f t="shared" si="7"/>
        <v>0</v>
      </c>
      <c r="H39" s="222" t="s">
        <v>175</v>
      </c>
      <c r="I39" s="325"/>
      <c r="J39" s="325">
        <v>121.14</v>
      </c>
      <c r="K39" s="325"/>
      <c r="L39" s="325"/>
      <c r="M39" s="325"/>
      <c r="N39" s="325"/>
      <c r="O39" s="325"/>
      <c r="P39" s="325"/>
      <c r="Q39" s="125"/>
      <c r="R39" s="303">
        <f t="shared" si="10"/>
        <v>0</v>
      </c>
      <c r="T39" s="293">
        <f t="shared" si="11"/>
        <v>0</v>
      </c>
    </row>
    <row r="40" spans="1:26" ht="30" x14ac:dyDescent="0.25">
      <c r="A40" s="125" t="s">
        <v>1142</v>
      </c>
      <c r="B40">
        <v>39285</v>
      </c>
      <c r="C40" s="127" t="s">
        <v>477</v>
      </c>
      <c r="D40" s="125" t="s">
        <v>229</v>
      </c>
      <c r="E40" s="216">
        <f t="shared" si="0"/>
        <v>0</v>
      </c>
      <c r="F40" s="348">
        <f t="shared" si="9"/>
        <v>122.88</v>
      </c>
      <c r="G40" s="344">
        <f t="shared" si="7"/>
        <v>0</v>
      </c>
      <c r="H40" s="222" t="s">
        <v>175</v>
      </c>
      <c r="I40" s="325"/>
      <c r="J40" s="325">
        <v>122.88</v>
      </c>
      <c r="K40" s="325"/>
      <c r="L40" s="325"/>
      <c r="M40" s="325"/>
      <c r="N40" s="325"/>
      <c r="O40" s="325"/>
      <c r="P40" s="325"/>
      <c r="Q40" s="125"/>
      <c r="R40" s="303">
        <f t="shared" si="10"/>
        <v>0</v>
      </c>
      <c r="S40" s="125"/>
      <c r="T40" s="293">
        <f t="shared" si="11"/>
        <v>0</v>
      </c>
      <c r="U40" s="125"/>
      <c r="V40" s="277"/>
      <c r="W40" s="125"/>
      <c r="X40" s="277"/>
      <c r="Y40" s="125"/>
      <c r="Z40" s="277"/>
    </row>
    <row r="41" spans="1:26" ht="45" x14ac:dyDescent="0.25">
      <c r="A41" s="125" t="s">
        <v>1143</v>
      </c>
      <c r="B41">
        <v>20965</v>
      </c>
      <c r="C41" s="127" t="s">
        <v>563</v>
      </c>
      <c r="D41" s="125" t="s">
        <v>229</v>
      </c>
      <c r="E41" s="216">
        <f t="shared" si="0"/>
        <v>0</v>
      </c>
      <c r="F41" s="348">
        <f t="shared" si="9"/>
        <v>26.39</v>
      </c>
      <c r="G41" s="344">
        <f t="shared" si="7"/>
        <v>0</v>
      </c>
      <c r="H41" s="222" t="s">
        <v>175</v>
      </c>
      <c r="I41" s="325"/>
      <c r="J41" s="325">
        <v>26.39</v>
      </c>
      <c r="K41" s="325"/>
      <c r="L41" s="325"/>
      <c r="M41" s="325"/>
      <c r="N41" s="325"/>
      <c r="O41" s="325"/>
      <c r="P41" s="325"/>
      <c r="Q41" s="125"/>
      <c r="R41" s="303">
        <f t="shared" si="10"/>
        <v>0</v>
      </c>
      <c r="S41" s="125"/>
      <c r="T41" s="293">
        <f t="shared" si="11"/>
        <v>0</v>
      </c>
      <c r="U41" s="125"/>
      <c r="V41" s="277"/>
      <c r="W41" s="125"/>
      <c r="X41" s="277"/>
      <c r="Y41" s="125"/>
      <c r="Z41" s="277"/>
    </row>
    <row r="42" spans="1:26" ht="45" x14ac:dyDescent="0.25">
      <c r="A42" s="125" t="s">
        <v>1144</v>
      </c>
      <c r="B42">
        <v>20966</v>
      </c>
      <c r="C42" s="121" t="s">
        <v>564</v>
      </c>
      <c r="D42" s="380" t="s">
        <v>229</v>
      </c>
      <c r="E42" s="216">
        <f t="shared" si="0"/>
        <v>0</v>
      </c>
      <c r="F42" s="348">
        <f t="shared" si="9"/>
        <v>28.41</v>
      </c>
      <c r="G42" s="344">
        <f t="shared" si="7"/>
        <v>0</v>
      </c>
      <c r="H42" s="222" t="s">
        <v>175</v>
      </c>
      <c r="I42" s="325"/>
      <c r="J42" s="325">
        <v>28.41</v>
      </c>
      <c r="K42" s="325"/>
      <c r="L42" s="325"/>
      <c r="M42" s="325"/>
      <c r="N42" s="325"/>
      <c r="O42" s="325"/>
      <c r="P42" s="325"/>
      <c r="Q42" s="125"/>
      <c r="R42" s="303">
        <f t="shared" si="10"/>
        <v>0</v>
      </c>
      <c r="S42" s="125"/>
      <c r="T42" s="293">
        <f t="shared" si="11"/>
        <v>0</v>
      </c>
      <c r="U42" s="125"/>
      <c r="V42" s="277"/>
      <c r="W42" s="125"/>
      <c r="X42" s="277"/>
      <c r="Y42" s="125"/>
      <c r="Z42" s="277"/>
    </row>
    <row r="43" spans="1:26" x14ac:dyDescent="0.25">
      <c r="A43" s="125" t="s">
        <v>1145</v>
      </c>
      <c r="B43">
        <v>36794</v>
      </c>
      <c r="C43" s="121" t="s">
        <v>541</v>
      </c>
      <c r="D43" s="182" t="s">
        <v>229</v>
      </c>
      <c r="E43" s="216">
        <f t="shared" si="0"/>
        <v>23</v>
      </c>
      <c r="F43" s="350">
        <f t="shared" si="9"/>
        <v>113.74</v>
      </c>
      <c r="G43" s="344">
        <f t="shared" si="7"/>
        <v>2616.02</v>
      </c>
      <c r="H43" s="228" t="s">
        <v>175</v>
      </c>
      <c r="I43" s="331"/>
      <c r="J43" s="325">
        <v>113.74</v>
      </c>
      <c r="K43" s="325"/>
      <c r="L43" s="325"/>
      <c r="M43" s="325"/>
      <c r="N43" s="325"/>
      <c r="O43" s="325"/>
      <c r="P43" s="325"/>
      <c r="Q43" s="209">
        <v>3</v>
      </c>
      <c r="R43" s="305">
        <f t="shared" si="10"/>
        <v>341.21999999999997</v>
      </c>
      <c r="S43" s="210">
        <v>2</v>
      </c>
      <c r="T43" s="293">
        <f t="shared" si="11"/>
        <v>227.48</v>
      </c>
      <c r="U43" s="211">
        <v>12</v>
      </c>
      <c r="V43" s="294">
        <f t="shared" ref="V43:V56" si="12">$F43*U43</f>
        <v>1364.8799999999999</v>
      </c>
      <c r="W43" s="212">
        <v>0</v>
      </c>
      <c r="X43" s="285">
        <f t="shared" ref="X43:X56" si="13">$F43*W43</f>
        <v>0</v>
      </c>
      <c r="Y43" s="213">
        <v>6</v>
      </c>
      <c r="Z43" s="275">
        <f t="shared" ref="Z43:Z56" si="14">$F43*Y43</f>
        <v>682.43999999999994</v>
      </c>
    </row>
    <row r="44" spans="1:26" x14ac:dyDescent="0.25">
      <c r="A44" s="125" t="s">
        <v>1146</v>
      </c>
      <c r="B44" s="125">
        <v>10426</v>
      </c>
      <c r="C44" s="127" t="s">
        <v>542</v>
      </c>
      <c r="D44" s="125" t="s">
        <v>229</v>
      </c>
      <c r="E44" s="216">
        <f t="shared" si="0"/>
        <v>15</v>
      </c>
      <c r="F44" s="348">
        <f t="shared" si="9"/>
        <v>163.82</v>
      </c>
      <c r="G44" s="344">
        <f t="shared" si="7"/>
        <v>2457.2999999999997</v>
      </c>
      <c r="H44" s="228" t="s">
        <v>175</v>
      </c>
      <c r="I44" s="331"/>
      <c r="J44" s="331">
        <v>163.82</v>
      </c>
      <c r="K44" s="331"/>
      <c r="L44" s="331"/>
      <c r="M44" s="331"/>
      <c r="N44" s="331"/>
      <c r="O44" s="331"/>
      <c r="P44" s="331"/>
      <c r="Q44" s="80">
        <v>0</v>
      </c>
      <c r="R44" s="303">
        <f t="shared" si="10"/>
        <v>0</v>
      </c>
      <c r="S44" s="72">
        <v>2</v>
      </c>
      <c r="T44" s="299">
        <f t="shared" si="11"/>
        <v>327.64</v>
      </c>
      <c r="U44" s="74">
        <v>10</v>
      </c>
      <c r="V44" s="290">
        <f t="shared" si="12"/>
        <v>1638.1999999999998</v>
      </c>
      <c r="W44" s="81">
        <v>0</v>
      </c>
      <c r="X44" s="282">
        <f t="shared" si="13"/>
        <v>0</v>
      </c>
      <c r="Y44" s="82">
        <v>3</v>
      </c>
      <c r="Z44" s="272">
        <f t="shared" si="14"/>
        <v>491.46</v>
      </c>
    </row>
    <row r="45" spans="1:26" x14ac:dyDescent="0.25">
      <c r="A45" s="125" t="s">
        <v>1147</v>
      </c>
      <c r="B45">
        <v>10429</v>
      </c>
      <c r="C45" s="121" t="s">
        <v>543</v>
      </c>
      <c r="D45" t="s">
        <v>229</v>
      </c>
      <c r="E45" s="216">
        <f t="shared" si="0"/>
        <v>10</v>
      </c>
      <c r="F45" s="351">
        <f t="shared" si="9"/>
        <v>86.16</v>
      </c>
      <c r="G45" s="344">
        <f t="shared" si="7"/>
        <v>861.6</v>
      </c>
      <c r="H45" s="222" t="s">
        <v>175</v>
      </c>
      <c r="I45" s="325"/>
      <c r="J45" s="325">
        <v>86.16</v>
      </c>
      <c r="K45" s="325"/>
      <c r="L45" s="325"/>
      <c r="M45" s="325"/>
      <c r="N45" s="325"/>
      <c r="O45" s="325"/>
      <c r="P45" s="325"/>
      <c r="Q45" s="80">
        <v>0</v>
      </c>
      <c r="R45" s="303">
        <f t="shared" si="10"/>
        <v>0</v>
      </c>
      <c r="S45" s="72">
        <v>1</v>
      </c>
      <c r="T45" s="299">
        <f t="shared" si="11"/>
        <v>86.16</v>
      </c>
      <c r="U45" s="74">
        <v>6</v>
      </c>
      <c r="V45" s="290">
        <f t="shared" si="12"/>
        <v>516.96</v>
      </c>
      <c r="W45" s="81">
        <v>0</v>
      </c>
      <c r="X45" s="282">
        <f t="shared" si="13"/>
        <v>0</v>
      </c>
      <c r="Y45" s="82">
        <v>3</v>
      </c>
      <c r="Z45" s="272">
        <f t="shared" si="14"/>
        <v>258.48</v>
      </c>
    </row>
    <row r="46" spans="1:26" ht="30" x14ac:dyDescent="0.25">
      <c r="A46" s="125" t="s">
        <v>1148</v>
      </c>
      <c r="B46">
        <v>20269</v>
      </c>
      <c r="C46" s="127" t="s">
        <v>544</v>
      </c>
      <c r="D46" s="125" t="s">
        <v>229</v>
      </c>
      <c r="E46" s="216">
        <f t="shared" si="0"/>
        <v>19</v>
      </c>
      <c r="F46" s="348">
        <f t="shared" si="9"/>
        <v>71.010000000000005</v>
      </c>
      <c r="G46" s="344">
        <f t="shared" si="7"/>
        <v>1349.19</v>
      </c>
      <c r="H46" s="222" t="s">
        <v>175</v>
      </c>
      <c r="I46" s="384"/>
      <c r="J46" s="384">
        <v>71.010000000000005</v>
      </c>
      <c r="K46" s="384"/>
      <c r="L46" s="384"/>
      <c r="M46" s="384"/>
      <c r="N46" s="384"/>
      <c r="O46" s="384"/>
      <c r="P46" s="384"/>
      <c r="Q46" s="198">
        <v>6</v>
      </c>
      <c r="R46" s="306">
        <f t="shared" si="10"/>
        <v>426.06000000000006</v>
      </c>
      <c r="S46" s="199">
        <v>1</v>
      </c>
      <c r="T46" s="293">
        <f t="shared" si="11"/>
        <v>71.010000000000005</v>
      </c>
      <c r="U46" s="200">
        <v>6</v>
      </c>
      <c r="V46" s="292">
        <f t="shared" si="12"/>
        <v>426.06000000000006</v>
      </c>
      <c r="W46" s="201">
        <v>0</v>
      </c>
      <c r="X46" s="284">
        <f t="shared" si="13"/>
        <v>0</v>
      </c>
      <c r="Y46" s="202">
        <v>6</v>
      </c>
      <c r="Z46" s="274">
        <f t="shared" si="14"/>
        <v>426.06000000000006</v>
      </c>
    </row>
    <row r="47" spans="1:26" ht="30" x14ac:dyDescent="0.25">
      <c r="A47" s="125" t="s">
        <v>1149</v>
      </c>
      <c r="B47">
        <v>3900</v>
      </c>
      <c r="C47" s="127" t="s">
        <v>478</v>
      </c>
      <c r="D47" s="125" t="s">
        <v>229</v>
      </c>
      <c r="E47" s="216">
        <f t="shared" si="0"/>
        <v>18</v>
      </c>
      <c r="F47" s="348">
        <f t="shared" si="9"/>
        <v>27.37</v>
      </c>
      <c r="G47" s="344">
        <f t="shared" si="7"/>
        <v>492.65999999999997</v>
      </c>
      <c r="H47" s="222" t="s">
        <v>175</v>
      </c>
      <c r="I47" s="325"/>
      <c r="J47" s="325">
        <v>27.37</v>
      </c>
      <c r="K47" s="325"/>
      <c r="L47" s="325"/>
      <c r="M47" s="325"/>
      <c r="N47" s="325"/>
      <c r="O47" s="325"/>
      <c r="P47" s="325"/>
      <c r="Q47" s="80">
        <v>0</v>
      </c>
      <c r="R47" s="303">
        <f t="shared" si="10"/>
        <v>0</v>
      </c>
      <c r="S47" s="72">
        <v>0</v>
      </c>
      <c r="T47" s="293">
        <f t="shared" si="11"/>
        <v>0</v>
      </c>
      <c r="U47" s="74">
        <v>12</v>
      </c>
      <c r="V47" s="290">
        <f t="shared" si="12"/>
        <v>328.44</v>
      </c>
      <c r="W47" s="81">
        <v>0</v>
      </c>
      <c r="X47" s="282">
        <f t="shared" si="13"/>
        <v>0</v>
      </c>
      <c r="Y47" s="82">
        <v>6</v>
      </c>
      <c r="Z47" s="272">
        <f t="shared" si="14"/>
        <v>164.22</v>
      </c>
    </row>
    <row r="48" spans="1:26" ht="30" x14ac:dyDescent="0.25">
      <c r="A48" s="125" t="s">
        <v>1150</v>
      </c>
      <c r="B48">
        <v>3846</v>
      </c>
      <c r="C48" s="127" t="s">
        <v>479</v>
      </c>
      <c r="D48" s="125" t="s">
        <v>229</v>
      </c>
      <c r="E48" s="216">
        <f t="shared" si="0"/>
        <v>36</v>
      </c>
      <c r="F48" s="348">
        <f t="shared" si="9"/>
        <v>8.6199999999999992</v>
      </c>
      <c r="G48" s="344">
        <f t="shared" si="7"/>
        <v>310.32</v>
      </c>
      <c r="H48" s="222" t="s">
        <v>175</v>
      </c>
      <c r="I48" s="325"/>
      <c r="J48" s="325">
        <v>8.6199999999999992</v>
      </c>
      <c r="K48" s="325"/>
      <c r="L48" s="325"/>
      <c r="M48" s="325"/>
      <c r="N48" s="325"/>
      <c r="O48" s="325"/>
      <c r="P48" s="325"/>
      <c r="Q48" s="80">
        <v>6</v>
      </c>
      <c r="R48" s="303">
        <f t="shared" si="10"/>
        <v>51.72</v>
      </c>
      <c r="S48" s="72">
        <v>6</v>
      </c>
      <c r="T48" s="293">
        <f t="shared" si="11"/>
        <v>51.72</v>
      </c>
      <c r="U48" s="74">
        <v>12</v>
      </c>
      <c r="V48" s="290">
        <f t="shared" si="12"/>
        <v>103.44</v>
      </c>
      <c r="W48" s="81">
        <v>0</v>
      </c>
      <c r="X48" s="282">
        <f t="shared" si="13"/>
        <v>0</v>
      </c>
      <c r="Y48" s="82">
        <v>12</v>
      </c>
      <c r="Z48" s="272">
        <f t="shared" si="14"/>
        <v>103.44</v>
      </c>
    </row>
    <row r="49" spans="1:26" ht="30" x14ac:dyDescent="0.25">
      <c r="A49" s="125" t="s">
        <v>1151</v>
      </c>
      <c r="B49">
        <v>3886</v>
      </c>
      <c r="C49" s="127" t="s">
        <v>480</v>
      </c>
      <c r="D49" s="125" t="s">
        <v>229</v>
      </c>
      <c r="E49" s="216">
        <f t="shared" si="0"/>
        <v>60</v>
      </c>
      <c r="F49" s="348">
        <f t="shared" si="9"/>
        <v>9.08</v>
      </c>
      <c r="G49" s="344">
        <f t="shared" si="7"/>
        <v>544.79999999999995</v>
      </c>
      <c r="H49" s="222" t="s">
        <v>175</v>
      </c>
      <c r="I49" s="299">
        <v>0.99</v>
      </c>
      <c r="J49" s="325">
        <v>9.08</v>
      </c>
      <c r="K49" s="330">
        <v>1</v>
      </c>
      <c r="L49" s="330"/>
      <c r="M49" s="330"/>
      <c r="N49" s="330"/>
      <c r="O49" s="330">
        <v>2.19</v>
      </c>
      <c r="P49" s="330">
        <v>1.2</v>
      </c>
      <c r="Q49" s="80">
        <v>5</v>
      </c>
      <c r="R49" s="303">
        <f t="shared" si="10"/>
        <v>45.4</v>
      </c>
      <c r="S49" s="72">
        <v>10</v>
      </c>
      <c r="T49" s="293">
        <f t="shared" si="11"/>
        <v>90.8</v>
      </c>
      <c r="U49" s="74">
        <v>30</v>
      </c>
      <c r="V49" s="290">
        <f t="shared" si="12"/>
        <v>272.39999999999998</v>
      </c>
      <c r="W49" s="81">
        <v>10</v>
      </c>
      <c r="X49" s="282">
        <f t="shared" si="13"/>
        <v>90.8</v>
      </c>
      <c r="Y49" s="82">
        <v>5</v>
      </c>
      <c r="Z49" s="272">
        <f t="shared" si="14"/>
        <v>45.4</v>
      </c>
    </row>
    <row r="50" spans="1:26" ht="30" x14ac:dyDescent="0.25">
      <c r="A50" s="125" t="s">
        <v>1152</v>
      </c>
      <c r="B50">
        <v>3854</v>
      </c>
      <c r="C50" s="127" t="s">
        <v>481</v>
      </c>
      <c r="D50" s="125" t="s">
        <v>229</v>
      </c>
      <c r="E50" s="216">
        <f t="shared" si="0"/>
        <v>16</v>
      </c>
      <c r="F50" s="348">
        <f t="shared" si="9"/>
        <v>5.05</v>
      </c>
      <c r="G50" s="344">
        <f t="shared" si="7"/>
        <v>80.8</v>
      </c>
      <c r="H50" s="222" t="s">
        <v>175</v>
      </c>
      <c r="I50" s="325"/>
      <c r="J50" s="325">
        <v>5.05</v>
      </c>
      <c r="K50" s="325"/>
      <c r="L50" s="325"/>
      <c r="M50" s="325"/>
      <c r="N50" s="325"/>
      <c r="O50" s="325"/>
      <c r="P50" s="325"/>
      <c r="Q50" s="80">
        <v>4</v>
      </c>
      <c r="R50" s="303">
        <f t="shared" si="10"/>
        <v>20.2</v>
      </c>
      <c r="S50" s="72">
        <v>4</v>
      </c>
      <c r="T50" s="293">
        <f t="shared" si="11"/>
        <v>20.2</v>
      </c>
      <c r="U50" s="74">
        <v>4</v>
      </c>
      <c r="V50" s="290">
        <f t="shared" si="12"/>
        <v>20.2</v>
      </c>
      <c r="W50" s="81">
        <v>0</v>
      </c>
      <c r="X50" s="282">
        <f t="shared" si="13"/>
        <v>0</v>
      </c>
      <c r="Y50" s="82">
        <v>4</v>
      </c>
      <c r="Z50" s="272">
        <f t="shared" si="14"/>
        <v>20.2</v>
      </c>
    </row>
    <row r="51" spans="1:26" ht="30" x14ac:dyDescent="0.25">
      <c r="A51" s="125" t="s">
        <v>1153</v>
      </c>
      <c r="B51">
        <v>3873</v>
      </c>
      <c r="C51" s="121" t="s">
        <v>482</v>
      </c>
      <c r="D51" t="s">
        <v>229</v>
      </c>
      <c r="E51" s="216">
        <f t="shared" si="0"/>
        <v>80</v>
      </c>
      <c r="F51" s="349">
        <f t="shared" si="9"/>
        <v>6.68</v>
      </c>
      <c r="G51" s="344">
        <f t="shared" si="7"/>
        <v>534.4</v>
      </c>
      <c r="H51" s="8" t="s">
        <v>175</v>
      </c>
      <c r="I51" s="293"/>
      <c r="J51" s="332">
        <v>6.68</v>
      </c>
      <c r="K51" s="327">
        <v>6.9</v>
      </c>
      <c r="L51" s="327"/>
      <c r="M51" s="327"/>
      <c r="N51" s="327"/>
      <c r="O51" s="327"/>
      <c r="P51" s="327">
        <v>6.6</v>
      </c>
      <c r="Q51" s="183">
        <v>10</v>
      </c>
      <c r="R51" s="303">
        <f t="shared" si="10"/>
        <v>66.8</v>
      </c>
      <c r="S51" s="184">
        <v>20</v>
      </c>
      <c r="T51" s="293">
        <f t="shared" si="11"/>
        <v>133.6</v>
      </c>
      <c r="U51" s="185">
        <v>30</v>
      </c>
      <c r="V51" s="291">
        <f t="shared" si="12"/>
        <v>200.39999999999998</v>
      </c>
      <c r="W51" s="186">
        <v>0</v>
      </c>
      <c r="X51" s="283">
        <f t="shared" si="13"/>
        <v>0</v>
      </c>
      <c r="Y51" s="187">
        <v>20</v>
      </c>
      <c r="Z51" s="273">
        <f t="shared" si="14"/>
        <v>133.6</v>
      </c>
    </row>
    <row r="52" spans="1:26" ht="30" x14ac:dyDescent="0.25">
      <c r="A52" s="125" t="s">
        <v>1154</v>
      </c>
      <c r="B52">
        <v>3847</v>
      </c>
      <c r="C52" s="121" t="s">
        <v>483</v>
      </c>
      <c r="D52" t="s">
        <v>229</v>
      </c>
      <c r="E52" s="216">
        <f t="shared" si="0"/>
        <v>32</v>
      </c>
      <c r="F52" s="348">
        <f t="shared" si="9"/>
        <v>18.14</v>
      </c>
      <c r="G52" s="344">
        <f t="shared" si="7"/>
        <v>580.48</v>
      </c>
      <c r="H52" s="6" t="s">
        <v>175</v>
      </c>
      <c r="I52" s="278"/>
      <c r="J52" s="278">
        <v>18.14</v>
      </c>
      <c r="K52" s="278"/>
      <c r="L52" s="278"/>
      <c r="M52" s="278"/>
      <c r="N52" s="278"/>
      <c r="O52" s="278"/>
      <c r="P52" s="278"/>
      <c r="Q52" s="183">
        <v>4</v>
      </c>
      <c r="R52" s="303">
        <f t="shared" si="10"/>
        <v>72.56</v>
      </c>
      <c r="S52" s="184">
        <v>4</v>
      </c>
      <c r="T52" s="293">
        <f t="shared" si="11"/>
        <v>72.56</v>
      </c>
      <c r="U52" s="185">
        <v>12</v>
      </c>
      <c r="V52" s="291">
        <f t="shared" si="12"/>
        <v>217.68</v>
      </c>
      <c r="W52" s="186">
        <v>0</v>
      </c>
      <c r="X52" s="283">
        <f t="shared" si="13"/>
        <v>0</v>
      </c>
      <c r="Y52" s="187">
        <v>12</v>
      </c>
      <c r="Z52" s="273">
        <f t="shared" si="14"/>
        <v>217.68</v>
      </c>
    </row>
    <row r="53" spans="1:26" ht="45" x14ac:dyDescent="0.25">
      <c r="A53" s="125" t="s">
        <v>1155</v>
      </c>
      <c r="B53">
        <v>37461</v>
      </c>
      <c r="C53" s="121" t="s">
        <v>566</v>
      </c>
      <c r="D53" t="s">
        <v>237</v>
      </c>
      <c r="E53" s="216">
        <f t="shared" si="0"/>
        <v>48</v>
      </c>
      <c r="F53" s="348">
        <f t="shared" si="9"/>
        <v>7.49</v>
      </c>
      <c r="G53" s="344">
        <f t="shared" si="7"/>
        <v>359.52</v>
      </c>
      <c r="H53" s="6" t="s">
        <v>175</v>
      </c>
      <c r="I53" s="332"/>
      <c r="J53" s="332">
        <v>7.49</v>
      </c>
      <c r="K53" s="332"/>
      <c r="L53" s="332"/>
      <c r="M53" s="332"/>
      <c r="N53" s="332"/>
      <c r="O53" s="332"/>
      <c r="P53" s="332"/>
      <c r="Q53" s="183">
        <v>12</v>
      </c>
      <c r="R53" s="303">
        <f t="shared" si="10"/>
        <v>89.88</v>
      </c>
      <c r="S53" s="184">
        <v>12</v>
      </c>
      <c r="T53" s="293">
        <f t="shared" si="11"/>
        <v>89.88</v>
      </c>
      <c r="U53" s="185">
        <v>12</v>
      </c>
      <c r="V53" s="291">
        <f t="shared" si="12"/>
        <v>89.88</v>
      </c>
      <c r="W53" s="186">
        <v>0</v>
      </c>
      <c r="X53" s="283">
        <f t="shared" si="13"/>
        <v>0</v>
      </c>
      <c r="Y53" s="187">
        <v>12</v>
      </c>
      <c r="Z53" s="273">
        <f t="shared" si="14"/>
        <v>89.88</v>
      </c>
    </row>
    <row r="54" spans="1:26" ht="45" x14ac:dyDescent="0.25">
      <c r="A54" s="125" t="s">
        <v>1156</v>
      </c>
      <c r="B54">
        <v>37460</v>
      </c>
      <c r="C54" s="121" t="s">
        <v>565</v>
      </c>
      <c r="D54" t="s">
        <v>237</v>
      </c>
      <c r="E54" s="216">
        <f t="shared" si="0"/>
        <v>48</v>
      </c>
      <c r="F54" s="348">
        <f t="shared" si="9"/>
        <v>10.23</v>
      </c>
      <c r="G54" s="344">
        <f t="shared" si="7"/>
        <v>491.04</v>
      </c>
      <c r="H54" s="6" t="s">
        <v>175</v>
      </c>
      <c r="I54" s="332"/>
      <c r="J54" s="332">
        <v>10.23</v>
      </c>
      <c r="K54" s="332"/>
      <c r="L54" s="332"/>
      <c r="M54" s="332"/>
      <c r="N54" s="332"/>
      <c r="O54" s="332"/>
      <c r="P54" s="332"/>
      <c r="Q54" s="183">
        <v>12</v>
      </c>
      <c r="R54" s="303">
        <f t="shared" si="10"/>
        <v>122.76</v>
      </c>
      <c r="S54" s="184">
        <v>12</v>
      </c>
      <c r="T54" s="293">
        <f t="shared" si="11"/>
        <v>122.76</v>
      </c>
      <c r="U54" s="185">
        <v>12</v>
      </c>
      <c r="V54" s="291">
        <f t="shared" si="12"/>
        <v>122.76</v>
      </c>
      <c r="W54" s="186">
        <v>0</v>
      </c>
      <c r="X54" s="283">
        <f t="shared" si="13"/>
        <v>0</v>
      </c>
      <c r="Y54" s="187">
        <v>12</v>
      </c>
      <c r="Z54" s="273">
        <f t="shared" si="14"/>
        <v>122.76</v>
      </c>
    </row>
    <row r="55" spans="1:26" ht="60" x14ac:dyDescent="0.25">
      <c r="A55" s="125" t="s">
        <v>1157</v>
      </c>
      <c r="B55">
        <v>21029</v>
      </c>
      <c r="C55" s="121" t="s">
        <v>484</v>
      </c>
      <c r="D55" t="s">
        <v>229</v>
      </c>
      <c r="E55" s="216">
        <f t="shared" si="0"/>
        <v>1</v>
      </c>
      <c r="F55" s="348">
        <f t="shared" si="9"/>
        <v>183.45</v>
      </c>
      <c r="G55" s="344">
        <f t="shared" si="7"/>
        <v>183.45</v>
      </c>
      <c r="H55" s="6" t="s">
        <v>175</v>
      </c>
      <c r="I55" s="332"/>
      <c r="J55" s="332">
        <v>183.45</v>
      </c>
      <c r="K55" s="332"/>
      <c r="L55" s="332"/>
      <c r="M55" s="332"/>
      <c r="N55" s="332"/>
      <c r="O55" s="332"/>
      <c r="P55" s="332"/>
      <c r="Q55" s="183">
        <v>0</v>
      </c>
      <c r="R55" s="303">
        <f t="shared" si="10"/>
        <v>0</v>
      </c>
      <c r="S55" s="184">
        <v>0</v>
      </c>
      <c r="T55" s="293">
        <f t="shared" si="11"/>
        <v>0</v>
      </c>
      <c r="U55" s="185">
        <v>0</v>
      </c>
      <c r="V55" s="291">
        <f t="shared" si="12"/>
        <v>0</v>
      </c>
      <c r="W55" s="186">
        <v>1</v>
      </c>
      <c r="X55" s="283">
        <f t="shared" si="13"/>
        <v>183.45</v>
      </c>
      <c r="Y55" s="187">
        <v>0</v>
      </c>
      <c r="Z55" s="273">
        <f t="shared" si="14"/>
        <v>0</v>
      </c>
    </row>
    <row r="56" spans="1:26" ht="60" x14ac:dyDescent="0.25">
      <c r="A56" s="125" t="s">
        <v>1158</v>
      </c>
      <c r="B56">
        <v>21032</v>
      </c>
      <c r="C56" s="121" t="s">
        <v>485</v>
      </c>
      <c r="D56" t="s">
        <v>229</v>
      </c>
      <c r="E56" s="216">
        <f t="shared" si="0"/>
        <v>5</v>
      </c>
      <c r="F56" s="348">
        <f t="shared" si="9"/>
        <v>300.60000000000002</v>
      </c>
      <c r="G56" s="344">
        <f t="shared" si="7"/>
        <v>1503</v>
      </c>
      <c r="H56" s="6" t="s">
        <v>175</v>
      </c>
      <c r="I56" s="332"/>
      <c r="J56" s="332">
        <v>300.60000000000002</v>
      </c>
      <c r="K56" s="332"/>
      <c r="L56" s="332"/>
      <c r="M56" s="332"/>
      <c r="N56" s="332"/>
      <c r="O56" s="332"/>
      <c r="P56" s="332"/>
      <c r="Q56" s="183">
        <v>2</v>
      </c>
      <c r="R56" s="303">
        <f t="shared" si="10"/>
        <v>601.20000000000005</v>
      </c>
      <c r="S56" s="184">
        <v>1</v>
      </c>
      <c r="T56" s="293">
        <f t="shared" si="11"/>
        <v>300.60000000000002</v>
      </c>
      <c r="U56" s="185">
        <v>0</v>
      </c>
      <c r="V56" s="291">
        <f t="shared" si="12"/>
        <v>0</v>
      </c>
      <c r="W56" s="186">
        <v>1</v>
      </c>
      <c r="X56" s="283">
        <f t="shared" si="13"/>
        <v>300.60000000000002</v>
      </c>
      <c r="Y56" s="187">
        <v>1</v>
      </c>
      <c r="Z56" s="273">
        <f t="shared" si="14"/>
        <v>300.60000000000002</v>
      </c>
    </row>
    <row r="57" spans="1:26" ht="45" x14ac:dyDescent="0.25">
      <c r="A57" s="125" t="s">
        <v>1159</v>
      </c>
      <c r="B57">
        <v>20185</v>
      </c>
      <c r="C57" s="121" t="s">
        <v>569</v>
      </c>
      <c r="D57" t="s">
        <v>237</v>
      </c>
      <c r="E57" s="216">
        <f t="shared" si="0"/>
        <v>0</v>
      </c>
      <c r="F57" s="348">
        <f t="shared" si="9"/>
        <v>12.18</v>
      </c>
      <c r="G57" s="344">
        <f t="shared" si="7"/>
        <v>0</v>
      </c>
      <c r="H57" s="6" t="s">
        <v>175</v>
      </c>
      <c r="I57" s="332"/>
      <c r="J57" s="332">
        <v>12.18</v>
      </c>
      <c r="K57" s="332"/>
      <c r="L57" s="332"/>
      <c r="M57" s="332"/>
      <c r="N57" s="332"/>
      <c r="O57" s="332"/>
      <c r="P57" s="332"/>
      <c r="Q57" s="142"/>
      <c r="R57" s="303">
        <f t="shared" si="10"/>
        <v>0</v>
      </c>
      <c r="S57" s="142"/>
      <c r="T57" s="293">
        <f t="shared" si="11"/>
        <v>0</v>
      </c>
      <c r="U57" s="142"/>
      <c r="V57" s="269"/>
      <c r="W57" s="142"/>
      <c r="X57" s="269"/>
      <c r="Y57" s="142"/>
      <c r="Z57" s="269"/>
    </row>
    <row r="58" spans="1:26" ht="30" x14ac:dyDescent="0.25">
      <c r="A58" s="125" t="s">
        <v>1160</v>
      </c>
      <c r="B58">
        <v>20260</v>
      </c>
      <c r="C58" s="121" t="s">
        <v>568</v>
      </c>
      <c r="D58" t="s">
        <v>229</v>
      </c>
      <c r="E58" s="216">
        <f t="shared" si="0"/>
        <v>0</v>
      </c>
      <c r="F58" s="348">
        <f t="shared" si="9"/>
        <v>9.8000000000000007</v>
      </c>
      <c r="G58" s="344">
        <f t="shared" si="7"/>
        <v>0</v>
      </c>
      <c r="H58" s="6" t="s">
        <v>175</v>
      </c>
      <c r="I58" s="332"/>
      <c r="J58" s="332">
        <v>9.8000000000000007</v>
      </c>
      <c r="K58" s="332"/>
      <c r="L58" s="332"/>
      <c r="M58" s="332"/>
      <c r="N58" s="332"/>
      <c r="O58" s="332"/>
      <c r="P58" s="332"/>
      <c r="Q58" s="142"/>
      <c r="R58" s="303">
        <f t="shared" si="10"/>
        <v>0</v>
      </c>
      <c r="S58" s="142"/>
      <c r="T58" s="293">
        <f t="shared" si="11"/>
        <v>0</v>
      </c>
      <c r="U58" s="142"/>
      <c r="V58" s="269"/>
      <c r="W58" s="142"/>
      <c r="X58" s="269"/>
      <c r="Y58" s="142"/>
      <c r="Z58" s="269"/>
    </row>
    <row r="59" spans="1:26" x14ac:dyDescent="0.25">
      <c r="A59" s="125" t="s">
        <v>1161</v>
      </c>
      <c r="B59">
        <v>10432</v>
      </c>
      <c r="C59" s="121" t="s">
        <v>545</v>
      </c>
      <c r="D59" t="s">
        <v>229</v>
      </c>
      <c r="E59" s="216">
        <f t="shared" si="0"/>
        <v>0</v>
      </c>
      <c r="F59" s="348">
        <f t="shared" si="9"/>
        <v>251.66</v>
      </c>
      <c r="G59" s="344">
        <f t="shared" si="7"/>
        <v>0</v>
      </c>
      <c r="H59" s="8" t="s">
        <v>175</v>
      </c>
      <c r="I59" s="332"/>
      <c r="J59" s="332">
        <v>251.66</v>
      </c>
      <c r="K59" s="332"/>
      <c r="L59" s="332"/>
      <c r="M59" s="332"/>
      <c r="N59" s="332"/>
      <c r="O59" s="332"/>
      <c r="P59" s="332"/>
      <c r="Q59" s="142"/>
      <c r="R59" s="303">
        <f t="shared" si="10"/>
        <v>0</v>
      </c>
      <c r="S59" s="142"/>
      <c r="T59" s="293">
        <f t="shared" si="11"/>
        <v>0</v>
      </c>
      <c r="U59" s="142"/>
      <c r="V59" s="269"/>
      <c r="W59" s="142"/>
      <c r="X59" s="269"/>
      <c r="Y59" s="142"/>
      <c r="Z59" s="269"/>
    </row>
    <row r="60" spans="1:26" ht="45" x14ac:dyDescent="0.25">
      <c r="A60" s="125" t="s">
        <v>1162</v>
      </c>
      <c r="B60">
        <v>20078</v>
      </c>
      <c r="C60" s="121" t="s">
        <v>486</v>
      </c>
      <c r="D60" s="142" t="s">
        <v>229</v>
      </c>
      <c r="E60" s="216">
        <f t="shared" si="0"/>
        <v>5</v>
      </c>
      <c r="F60" s="348">
        <f t="shared" si="9"/>
        <v>19.510000000000002</v>
      </c>
      <c r="G60" s="344">
        <f t="shared" si="7"/>
        <v>97.550000000000011</v>
      </c>
      <c r="H60" s="8" t="s">
        <v>175</v>
      </c>
      <c r="I60" s="332"/>
      <c r="J60" s="332">
        <v>19.510000000000002</v>
      </c>
      <c r="K60" s="332"/>
      <c r="L60" s="332"/>
      <c r="M60" s="332"/>
      <c r="N60" s="332"/>
      <c r="O60" s="332"/>
      <c r="P60" s="332"/>
      <c r="Q60" s="183">
        <v>1</v>
      </c>
      <c r="R60" s="303">
        <f t="shared" si="10"/>
        <v>19.510000000000002</v>
      </c>
      <c r="S60" s="184">
        <v>1</v>
      </c>
      <c r="T60" s="293">
        <f t="shared" si="11"/>
        <v>19.510000000000002</v>
      </c>
      <c r="U60" s="185">
        <v>1</v>
      </c>
      <c r="V60" s="291">
        <f t="shared" ref="V60:V73" si="15">$F60*U60</f>
        <v>19.510000000000002</v>
      </c>
      <c r="W60" s="186">
        <v>1</v>
      </c>
      <c r="X60" s="283">
        <f t="shared" ref="X60:X73" si="16">$F60*W60</f>
        <v>19.510000000000002</v>
      </c>
      <c r="Y60" s="187">
        <v>1</v>
      </c>
      <c r="Z60" s="273">
        <f t="shared" ref="Z60:Z73" si="17">$F60*Y60</f>
        <v>19.510000000000002</v>
      </c>
    </row>
    <row r="61" spans="1:26" ht="30" x14ac:dyDescent="0.25">
      <c r="A61" s="125" t="s">
        <v>1163</v>
      </c>
      <c r="B61">
        <v>39897</v>
      </c>
      <c r="C61" s="121" t="s">
        <v>487</v>
      </c>
      <c r="D61" t="s">
        <v>272</v>
      </c>
      <c r="E61" s="216">
        <f t="shared" si="0"/>
        <v>2</v>
      </c>
      <c r="F61" s="348">
        <f t="shared" si="9"/>
        <v>28.67</v>
      </c>
      <c r="G61" s="344">
        <f t="shared" si="7"/>
        <v>57.34</v>
      </c>
      <c r="H61" s="8" t="s">
        <v>175</v>
      </c>
      <c r="I61" s="332"/>
      <c r="J61" s="332">
        <v>28.67</v>
      </c>
      <c r="K61" s="332"/>
      <c r="L61" s="332"/>
      <c r="M61" s="332"/>
      <c r="N61" s="332"/>
      <c r="O61" s="332"/>
      <c r="P61" s="332"/>
      <c r="Q61" s="183">
        <v>1</v>
      </c>
      <c r="R61" s="303">
        <f t="shared" si="10"/>
        <v>28.67</v>
      </c>
      <c r="S61" s="184">
        <v>0</v>
      </c>
      <c r="T61" s="293">
        <f t="shared" si="11"/>
        <v>0</v>
      </c>
      <c r="U61" s="185">
        <v>0</v>
      </c>
      <c r="V61" s="291">
        <f t="shared" si="15"/>
        <v>0</v>
      </c>
      <c r="W61" s="186">
        <v>1</v>
      </c>
      <c r="X61" s="283">
        <f t="shared" si="16"/>
        <v>28.67</v>
      </c>
      <c r="Y61" s="187">
        <v>0</v>
      </c>
      <c r="Z61" s="273">
        <f t="shared" si="17"/>
        <v>0</v>
      </c>
    </row>
    <row r="62" spans="1:26" x14ac:dyDescent="0.25">
      <c r="A62" s="125" t="s">
        <v>1164</v>
      </c>
      <c r="B62">
        <v>4893</v>
      </c>
      <c r="C62" s="121" t="s">
        <v>362</v>
      </c>
      <c r="D62" t="s">
        <v>229</v>
      </c>
      <c r="E62" s="216">
        <f t="shared" si="0"/>
        <v>21</v>
      </c>
      <c r="F62" s="348">
        <f t="shared" si="9"/>
        <v>10.17</v>
      </c>
      <c r="G62" s="344">
        <f t="shared" si="7"/>
        <v>213.57</v>
      </c>
      <c r="H62" s="8" t="s">
        <v>175</v>
      </c>
      <c r="I62" s="332"/>
      <c r="J62" s="332">
        <v>10.17</v>
      </c>
      <c r="K62" s="332"/>
      <c r="L62" s="332"/>
      <c r="M62" s="332"/>
      <c r="N62" s="332"/>
      <c r="O62" s="332"/>
      <c r="P62" s="332"/>
      <c r="Q62" s="183">
        <v>6</v>
      </c>
      <c r="R62" s="303">
        <f t="shared" si="10"/>
        <v>61.019999999999996</v>
      </c>
      <c r="S62" s="184">
        <v>3</v>
      </c>
      <c r="T62" s="293">
        <f t="shared" si="11"/>
        <v>30.509999999999998</v>
      </c>
      <c r="U62" s="185">
        <v>6</v>
      </c>
      <c r="V62" s="291">
        <f t="shared" si="15"/>
        <v>61.019999999999996</v>
      </c>
      <c r="W62" s="186">
        <v>0</v>
      </c>
      <c r="X62" s="283">
        <f t="shared" si="16"/>
        <v>0</v>
      </c>
      <c r="Y62" s="187">
        <v>6</v>
      </c>
      <c r="Z62" s="273">
        <f t="shared" si="17"/>
        <v>61.019999999999996</v>
      </c>
    </row>
    <row r="63" spans="1:26" x14ac:dyDescent="0.25">
      <c r="A63" s="125" t="s">
        <v>1165</v>
      </c>
      <c r="B63">
        <v>4894</v>
      </c>
      <c r="C63" s="121" t="s">
        <v>368</v>
      </c>
      <c r="D63" t="s">
        <v>229</v>
      </c>
      <c r="E63" s="216">
        <f t="shared" si="0"/>
        <v>21</v>
      </c>
      <c r="F63" s="348">
        <f t="shared" si="9"/>
        <v>8.73</v>
      </c>
      <c r="G63" s="344">
        <f t="shared" si="7"/>
        <v>183.33</v>
      </c>
      <c r="H63" s="8" t="s">
        <v>175</v>
      </c>
      <c r="I63" s="332"/>
      <c r="J63" s="332">
        <v>8.73</v>
      </c>
      <c r="K63" s="332"/>
      <c r="L63" s="332"/>
      <c r="M63" s="332"/>
      <c r="N63" s="332"/>
      <c r="O63" s="332"/>
      <c r="P63" s="332"/>
      <c r="Q63" s="183">
        <v>6</v>
      </c>
      <c r="R63" s="303">
        <f t="shared" si="10"/>
        <v>52.38</v>
      </c>
      <c r="S63" s="184">
        <v>3</v>
      </c>
      <c r="T63" s="293">
        <f t="shared" si="11"/>
        <v>26.19</v>
      </c>
      <c r="U63" s="185">
        <v>6</v>
      </c>
      <c r="V63" s="291">
        <f t="shared" si="15"/>
        <v>52.38</v>
      </c>
      <c r="W63" s="186">
        <v>0</v>
      </c>
      <c r="X63" s="283">
        <f t="shared" si="16"/>
        <v>0</v>
      </c>
      <c r="Y63" s="187">
        <v>6</v>
      </c>
      <c r="Z63" s="273">
        <f t="shared" si="17"/>
        <v>52.38</v>
      </c>
    </row>
    <row r="64" spans="1:26" x14ac:dyDescent="0.25">
      <c r="A64" s="125" t="s">
        <v>1166</v>
      </c>
      <c r="B64">
        <v>4890</v>
      </c>
      <c r="C64" s="121" t="s">
        <v>374</v>
      </c>
      <c r="D64" t="s">
        <v>229</v>
      </c>
      <c r="E64" s="216">
        <f t="shared" si="0"/>
        <v>21</v>
      </c>
      <c r="F64" s="348">
        <f t="shared" si="9"/>
        <v>5.58</v>
      </c>
      <c r="G64" s="344">
        <f t="shared" si="7"/>
        <v>117.18000000000002</v>
      </c>
      <c r="H64" s="8" t="s">
        <v>175</v>
      </c>
      <c r="I64" s="332"/>
      <c r="J64" s="332">
        <v>5.58</v>
      </c>
      <c r="K64" s="332"/>
      <c r="L64" s="332"/>
      <c r="M64" s="332"/>
      <c r="N64" s="332"/>
      <c r="O64" s="332"/>
      <c r="P64" s="332"/>
      <c r="Q64" s="183">
        <v>6</v>
      </c>
      <c r="R64" s="303">
        <f t="shared" si="10"/>
        <v>33.480000000000004</v>
      </c>
      <c r="S64" s="184">
        <v>3</v>
      </c>
      <c r="T64" s="293">
        <f t="shared" si="11"/>
        <v>16.740000000000002</v>
      </c>
      <c r="U64" s="185">
        <v>6</v>
      </c>
      <c r="V64" s="291">
        <f t="shared" si="15"/>
        <v>33.480000000000004</v>
      </c>
      <c r="W64" s="186">
        <v>0</v>
      </c>
      <c r="X64" s="283">
        <f t="shared" si="16"/>
        <v>0</v>
      </c>
      <c r="Y64" s="187">
        <v>6</v>
      </c>
      <c r="Z64" s="273">
        <f t="shared" si="17"/>
        <v>33.480000000000004</v>
      </c>
    </row>
    <row r="65" spans="1:26" x14ac:dyDescent="0.25">
      <c r="A65" s="125" t="s">
        <v>1167</v>
      </c>
      <c r="B65">
        <v>4888</v>
      </c>
      <c r="C65" s="121" t="s">
        <v>371</v>
      </c>
      <c r="D65" t="s">
        <v>229</v>
      </c>
      <c r="E65" s="216">
        <f t="shared" si="0"/>
        <v>21</v>
      </c>
      <c r="F65" s="348">
        <f t="shared" si="9"/>
        <v>2.97</v>
      </c>
      <c r="G65" s="344">
        <f t="shared" si="7"/>
        <v>62.37</v>
      </c>
      <c r="H65" s="8" t="s">
        <v>175</v>
      </c>
      <c r="I65" s="332"/>
      <c r="J65" s="332">
        <v>2.97</v>
      </c>
      <c r="K65" s="332"/>
      <c r="L65" s="332"/>
      <c r="M65" s="332"/>
      <c r="N65" s="332"/>
      <c r="O65" s="332"/>
      <c r="P65" s="332"/>
      <c r="Q65" s="183">
        <v>6</v>
      </c>
      <c r="R65" s="303">
        <f t="shared" si="10"/>
        <v>17.82</v>
      </c>
      <c r="S65" s="184">
        <v>3</v>
      </c>
      <c r="T65" s="293">
        <f t="shared" si="11"/>
        <v>8.91</v>
      </c>
      <c r="U65" s="185">
        <v>6</v>
      </c>
      <c r="V65" s="291">
        <f t="shared" si="15"/>
        <v>17.82</v>
      </c>
      <c r="W65" s="186">
        <v>0</v>
      </c>
      <c r="X65" s="283">
        <f t="shared" si="16"/>
        <v>0</v>
      </c>
      <c r="Y65" s="187">
        <v>6</v>
      </c>
      <c r="Z65" s="273">
        <f t="shared" si="17"/>
        <v>17.82</v>
      </c>
    </row>
    <row r="66" spans="1:26" x14ac:dyDescent="0.25">
      <c r="A66" s="125" t="s">
        <v>1168</v>
      </c>
      <c r="B66">
        <v>11073</v>
      </c>
      <c r="C66" s="121" t="s">
        <v>377</v>
      </c>
      <c r="D66" t="s">
        <v>229</v>
      </c>
      <c r="E66" s="216">
        <f t="shared" si="0"/>
        <v>36</v>
      </c>
      <c r="F66" s="348">
        <f t="shared" si="9"/>
        <v>3.1</v>
      </c>
      <c r="G66" s="344">
        <f t="shared" si="7"/>
        <v>111.6</v>
      </c>
      <c r="H66" s="8" t="s">
        <v>175</v>
      </c>
      <c r="I66" s="332"/>
      <c r="J66" s="332">
        <v>3.1</v>
      </c>
      <c r="K66" s="332"/>
      <c r="L66" s="332"/>
      <c r="M66" s="332"/>
      <c r="N66" s="332"/>
      <c r="O66" s="332"/>
      <c r="P66" s="332"/>
      <c r="Q66" s="183">
        <v>10</v>
      </c>
      <c r="R66" s="303">
        <f t="shared" si="10"/>
        <v>31</v>
      </c>
      <c r="S66" s="184">
        <v>6</v>
      </c>
      <c r="T66" s="293">
        <f t="shared" si="11"/>
        <v>18.600000000000001</v>
      </c>
      <c r="U66" s="185">
        <v>10</v>
      </c>
      <c r="V66" s="291">
        <f t="shared" si="15"/>
        <v>31</v>
      </c>
      <c r="W66" s="186">
        <v>0</v>
      </c>
      <c r="X66" s="283">
        <f t="shared" si="16"/>
        <v>0</v>
      </c>
      <c r="Y66" s="187">
        <v>10</v>
      </c>
      <c r="Z66" s="273">
        <f t="shared" si="17"/>
        <v>31</v>
      </c>
    </row>
    <row r="67" spans="1:26" x14ac:dyDescent="0.25">
      <c r="A67" s="125" t="s">
        <v>1169</v>
      </c>
      <c r="B67">
        <v>11071</v>
      </c>
      <c r="C67" s="121" t="s">
        <v>380</v>
      </c>
      <c r="D67" t="s">
        <v>229</v>
      </c>
      <c r="E67" s="216">
        <f t="shared" si="0"/>
        <v>36</v>
      </c>
      <c r="F67" s="348">
        <f t="shared" si="9"/>
        <v>5.0199999999999996</v>
      </c>
      <c r="G67" s="344">
        <f t="shared" si="7"/>
        <v>180.71999999999997</v>
      </c>
      <c r="H67" s="8" t="s">
        <v>175</v>
      </c>
      <c r="I67" s="332"/>
      <c r="J67" s="332">
        <v>5.0199999999999996</v>
      </c>
      <c r="K67" s="332"/>
      <c r="L67" s="332"/>
      <c r="M67" s="332"/>
      <c r="N67" s="332"/>
      <c r="O67" s="332"/>
      <c r="P67" s="332"/>
      <c r="Q67" s="183">
        <v>10</v>
      </c>
      <c r="R67" s="303">
        <f t="shared" si="10"/>
        <v>50.199999999999996</v>
      </c>
      <c r="S67" s="184">
        <v>6</v>
      </c>
      <c r="T67" s="293">
        <f t="shared" si="11"/>
        <v>30.119999999999997</v>
      </c>
      <c r="U67" s="185">
        <v>10</v>
      </c>
      <c r="V67" s="291">
        <f t="shared" si="15"/>
        <v>50.199999999999996</v>
      </c>
      <c r="W67" s="186">
        <v>0</v>
      </c>
      <c r="X67" s="283">
        <f t="shared" si="16"/>
        <v>0</v>
      </c>
      <c r="Y67" s="187">
        <v>10</v>
      </c>
      <c r="Z67" s="273">
        <f t="shared" si="17"/>
        <v>50.199999999999996</v>
      </c>
    </row>
    <row r="68" spans="1:26" x14ac:dyDescent="0.25">
      <c r="A68" s="125" t="s">
        <v>1170</v>
      </c>
      <c r="B68">
        <v>11072</v>
      </c>
      <c r="C68" s="121" t="s">
        <v>383</v>
      </c>
      <c r="D68" t="s">
        <v>229</v>
      </c>
      <c r="E68" s="216">
        <f t="shared" si="0"/>
        <v>44</v>
      </c>
      <c r="F68" s="348">
        <f t="shared" si="9"/>
        <v>1.75</v>
      </c>
      <c r="G68" s="344">
        <f t="shared" si="7"/>
        <v>77</v>
      </c>
      <c r="H68" s="8" t="s">
        <v>175</v>
      </c>
      <c r="I68" s="332"/>
      <c r="J68" s="332">
        <v>1.75</v>
      </c>
      <c r="K68" s="332"/>
      <c r="L68" s="332"/>
      <c r="M68" s="332"/>
      <c r="N68" s="332"/>
      <c r="O68" s="332"/>
      <c r="P68" s="332"/>
      <c r="Q68" s="183">
        <v>18</v>
      </c>
      <c r="R68" s="303">
        <f t="shared" si="10"/>
        <v>31.5</v>
      </c>
      <c r="S68" s="184">
        <v>6</v>
      </c>
      <c r="T68" s="293">
        <f t="shared" si="11"/>
        <v>10.5</v>
      </c>
      <c r="U68" s="185">
        <v>10</v>
      </c>
      <c r="V68" s="291">
        <f t="shared" si="15"/>
        <v>17.5</v>
      </c>
      <c r="W68" s="186">
        <v>0</v>
      </c>
      <c r="X68" s="283">
        <f t="shared" si="16"/>
        <v>0</v>
      </c>
      <c r="Y68" s="187">
        <v>10</v>
      </c>
      <c r="Z68" s="273">
        <f t="shared" si="17"/>
        <v>17.5</v>
      </c>
    </row>
    <row r="69" spans="1:26" x14ac:dyDescent="0.25">
      <c r="A69" s="125" t="s">
        <v>361</v>
      </c>
      <c r="B69">
        <v>4895</v>
      </c>
      <c r="C69" s="121" t="s">
        <v>386</v>
      </c>
      <c r="D69" t="s">
        <v>229</v>
      </c>
      <c r="E69" s="216">
        <f t="shared" ref="E69:E127" si="18">Q69+S69+U69+W69+Y69</f>
        <v>36</v>
      </c>
      <c r="F69" s="348">
        <f t="shared" ref="F69:F100" si="19">IF(H69="SINAPI",J69,AVERAGE(J69:P69))</f>
        <v>0.35</v>
      </c>
      <c r="G69" s="344">
        <f t="shared" si="7"/>
        <v>12.599999999999998</v>
      </c>
      <c r="H69" s="222" t="s">
        <v>175</v>
      </c>
      <c r="I69" s="278"/>
      <c r="J69" s="278">
        <v>0.35</v>
      </c>
      <c r="K69" s="278"/>
      <c r="L69" s="278"/>
      <c r="M69" s="278"/>
      <c r="N69" s="278"/>
      <c r="O69" s="278"/>
      <c r="P69" s="278"/>
      <c r="Q69" s="183">
        <v>18</v>
      </c>
      <c r="R69" s="303">
        <f t="shared" ref="R69:R100" si="20">$F69*Q69</f>
        <v>6.3</v>
      </c>
      <c r="S69" s="184">
        <v>6</v>
      </c>
      <c r="T69" s="293">
        <f t="shared" ref="T69:T100" si="21">$F69*S69</f>
        <v>2.0999999999999996</v>
      </c>
      <c r="U69" s="185">
        <v>6</v>
      </c>
      <c r="V69" s="291">
        <f t="shared" si="15"/>
        <v>2.0999999999999996</v>
      </c>
      <c r="W69" s="186">
        <v>0</v>
      </c>
      <c r="X69" s="283">
        <f t="shared" si="16"/>
        <v>0</v>
      </c>
      <c r="Y69" s="187">
        <v>6</v>
      </c>
      <c r="Z69" s="273">
        <f t="shared" si="17"/>
        <v>2.0999999999999996</v>
      </c>
    </row>
    <row r="70" spans="1:26" ht="30" x14ac:dyDescent="0.25">
      <c r="A70" s="125" t="s">
        <v>363</v>
      </c>
      <c r="B70">
        <v>4907</v>
      </c>
      <c r="C70" s="121" t="s">
        <v>389</v>
      </c>
      <c r="D70" t="s">
        <v>229</v>
      </c>
      <c r="E70" s="216">
        <f t="shared" si="18"/>
        <v>24</v>
      </c>
      <c r="F70" s="348">
        <f t="shared" si="19"/>
        <v>18.34</v>
      </c>
      <c r="G70" s="344">
        <f t="shared" ref="G70:G133" si="22">R70+T70+V70+X70+Z70</f>
        <v>440.15999999999997</v>
      </c>
      <c r="H70" s="222" t="s">
        <v>175</v>
      </c>
      <c r="I70" s="278"/>
      <c r="J70" s="278">
        <v>18.34</v>
      </c>
      <c r="K70" s="278"/>
      <c r="L70" s="278"/>
      <c r="M70" s="278"/>
      <c r="N70" s="278"/>
      <c r="O70" s="278"/>
      <c r="P70" s="278"/>
      <c r="Q70" s="183">
        <v>6</v>
      </c>
      <c r="R70" s="303">
        <f t="shared" si="20"/>
        <v>110.03999999999999</v>
      </c>
      <c r="S70" s="184">
        <v>6</v>
      </c>
      <c r="T70" s="293">
        <f t="shared" si="21"/>
        <v>110.03999999999999</v>
      </c>
      <c r="U70" s="185">
        <v>6</v>
      </c>
      <c r="V70" s="291">
        <f t="shared" si="15"/>
        <v>110.03999999999999</v>
      </c>
      <c r="W70" s="186">
        <v>0</v>
      </c>
      <c r="X70" s="283">
        <f t="shared" si="16"/>
        <v>0</v>
      </c>
      <c r="Y70" s="187">
        <v>6</v>
      </c>
      <c r="Z70" s="273">
        <f t="shared" si="17"/>
        <v>110.03999999999999</v>
      </c>
    </row>
    <row r="71" spans="1:26" ht="30" x14ac:dyDescent="0.25">
      <c r="A71" s="125" t="s">
        <v>364</v>
      </c>
      <c r="B71">
        <v>4902</v>
      </c>
      <c r="C71" s="121" t="s">
        <v>392</v>
      </c>
      <c r="D71" t="s">
        <v>229</v>
      </c>
      <c r="E71" s="216">
        <f t="shared" si="18"/>
        <v>24</v>
      </c>
      <c r="F71" s="348">
        <f t="shared" si="19"/>
        <v>41.51</v>
      </c>
      <c r="G71" s="344">
        <f t="shared" si="22"/>
        <v>996.24</v>
      </c>
      <c r="H71" s="222" t="s">
        <v>175</v>
      </c>
      <c r="I71" s="278"/>
      <c r="J71" s="278">
        <v>41.51</v>
      </c>
      <c r="K71" s="278"/>
      <c r="L71" s="278"/>
      <c r="M71" s="278"/>
      <c r="N71" s="278"/>
      <c r="O71" s="278"/>
      <c r="P71" s="278"/>
      <c r="Q71" s="183">
        <v>6</v>
      </c>
      <c r="R71" s="303">
        <f t="shared" si="20"/>
        <v>249.06</v>
      </c>
      <c r="S71" s="184">
        <v>6</v>
      </c>
      <c r="T71" s="293">
        <f t="shared" si="21"/>
        <v>249.06</v>
      </c>
      <c r="U71" s="185">
        <v>6</v>
      </c>
      <c r="V71" s="291">
        <f t="shared" si="15"/>
        <v>249.06</v>
      </c>
      <c r="W71" s="186">
        <v>0</v>
      </c>
      <c r="X71" s="283">
        <f t="shared" si="16"/>
        <v>0</v>
      </c>
      <c r="Y71" s="187">
        <v>6</v>
      </c>
      <c r="Z71" s="273">
        <f t="shared" si="17"/>
        <v>249.06</v>
      </c>
    </row>
    <row r="72" spans="1:26" ht="30" x14ac:dyDescent="0.25">
      <c r="A72" s="125" t="s">
        <v>365</v>
      </c>
      <c r="B72">
        <v>4908</v>
      </c>
      <c r="C72" s="121" t="s">
        <v>395</v>
      </c>
      <c r="D72" t="s">
        <v>229</v>
      </c>
      <c r="E72" s="216">
        <f t="shared" si="18"/>
        <v>24</v>
      </c>
      <c r="F72" s="348">
        <f t="shared" si="19"/>
        <v>84.29</v>
      </c>
      <c r="G72" s="344">
        <f t="shared" si="22"/>
        <v>2022.96</v>
      </c>
      <c r="H72" s="222" t="s">
        <v>175</v>
      </c>
      <c r="I72" s="278"/>
      <c r="J72" s="278">
        <v>84.29</v>
      </c>
      <c r="K72" s="278"/>
      <c r="L72" s="278"/>
      <c r="M72" s="278"/>
      <c r="N72" s="278"/>
      <c r="O72" s="278"/>
      <c r="P72" s="278"/>
      <c r="Q72" s="183">
        <v>6</v>
      </c>
      <c r="R72" s="303">
        <f t="shared" si="20"/>
        <v>505.74</v>
      </c>
      <c r="S72" s="184">
        <v>6</v>
      </c>
      <c r="T72" s="293">
        <f t="shared" si="21"/>
        <v>505.74</v>
      </c>
      <c r="U72" s="185">
        <v>6</v>
      </c>
      <c r="V72" s="291">
        <f t="shared" si="15"/>
        <v>505.74</v>
      </c>
      <c r="W72" s="186">
        <v>0</v>
      </c>
      <c r="X72" s="283">
        <f t="shared" si="16"/>
        <v>0</v>
      </c>
      <c r="Y72" s="187">
        <v>6</v>
      </c>
      <c r="Z72" s="273">
        <f t="shared" si="17"/>
        <v>505.74</v>
      </c>
    </row>
    <row r="73" spans="1:26" x14ac:dyDescent="0.25">
      <c r="A73" s="125" t="s">
        <v>366</v>
      </c>
      <c r="B73">
        <v>4896</v>
      </c>
      <c r="C73" s="121" t="s">
        <v>404</v>
      </c>
      <c r="D73" t="s">
        <v>229</v>
      </c>
      <c r="E73" s="216">
        <f t="shared" si="18"/>
        <v>48</v>
      </c>
      <c r="F73" s="348">
        <f t="shared" si="19"/>
        <v>0.54</v>
      </c>
      <c r="G73" s="344">
        <f t="shared" si="22"/>
        <v>25.92</v>
      </c>
      <c r="H73" s="222" t="s">
        <v>175</v>
      </c>
      <c r="I73" s="278"/>
      <c r="J73" s="278">
        <v>0.54</v>
      </c>
      <c r="K73" s="278"/>
      <c r="L73" s="278"/>
      <c r="M73" s="278"/>
      <c r="N73" s="278"/>
      <c r="O73" s="278"/>
      <c r="P73" s="278"/>
      <c r="Q73" s="183">
        <v>12</v>
      </c>
      <c r="R73" s="303">
        <f t="shared" si="20"/>
        <v>6.48</v>
      </c>
      <c r="S73" s="184">
        <v>12</v>
      </c>
      <c r="T73" s="293">
        <f t="shared" si="21"/>
        <v>6.48</v>
      </c>
      <c r="U73" s="185">
        <v>12</v>
      </c>
      <c r="V73" s="291">
        <f t="shared" si="15"/>
        <v>6.48</v>
      </c>
      <c r="W73" s="186">
        <v>0</v>
      </c>
      <c r="X73" s="283">
        <f t="shared" si="16"/>
        <v>0</v>
      </c>
      <c r="Y73" s="187">
        <v>12</v>
      </c>
      <c r="Z73" s="273">
        <f t="shared" si="17"/>
        <v>6.48</v>
      </c>
    </row>
    <row r="74" spans="1:26" x14ac:dyDescent="0.25">
      <c r="A74" s="125" t="s">
        <v>367</v>
      </c>
      <c r="B74">
        <v>4898</v>
      </c>
      <c r="C74" s="121" t="s">
        <v>407</v>
      </c>
      <c r="D74" t="s">
        <v>229</v>
      </c>
      <c r="E74" s="216">
        <f t="shared" si="18"/>
        <v>2</v>
      </c>
      <c r="F74" s="348">
        <f t="shared" si="19"/>
        <v>1.68</v>
      </c>
      <c r="G74" s="344">
        <f t="shared" si="22"/>
        <v>3.36</v>
      </c>
      <c r="H74" s="222" t="s">
        <v>175</v>
      </c>
      <c r="I74" s="278"/>
      <c r="J74" s="278">
        <v>1.68</v>
      </c>
      <c r="K74" s="278"/>
      <c r="L74" s="278"/>
      <c r="M74" s="278"/>
      <c r="N74" s="278"/>
      <c r="O74" s="278"/>
      <c r="P74" s="278"/>
      <c r="Q74" s="183">
        <v>2</v>
      </c>
      <c r="R74" s="303">
        <f t="shared" si="20"/>
        <v>3.36</v>
      </c>
      <c r="T74" s="293">
        <f t="shared" si="21"/>
        <v>0</v>
      </c>
    </row>
    <row r="75" spans="1:26" x14ac:dyDescent="0.25">
      <c r="A75" s="125" t="s">
        <v>369</v>
      </c>
      <c r="B75">
        <v>4899</v>
      </c>
      <c r="C75" s="121" t="s">
        <v>410</v>
      </c>
      <c r="D75" t="s">
        <v>229</v>
      </c>
      <c r="E75" s="216">
        <f t="shared" si="18"/>
        <v>2</v>
      </c>
      <c r="F75" s="348">
        <f t="shared" si="19"/>
        <v>6.18</v>
      </c>
      <c r="G75" s="344">
        <f t="shared" si="22"/>
        <v>12.36</v>
      </c>
      <c r="H75" s="222" t="s">
        <v>175</v>
      </c>
      <c r="I75" s="278"/>
      <c r="J75" s="278">
        <v>6.18</v>
      </c>
      <c r="K75" s="278"/>
      <c r="L75" s="278"/>
      <c r="M75" s="278"/>
      <c r="N75" s="278"/>
      <c r="O75" s="278"/>
      <c r="P75" s="278"/>
      <c r="Q75" s="183">
        <v>2</v>
      </c>
      <c r="R75" s="303">
        <f t="shared" si="20"/>
        <v>12.36</v>
      </c>
      <c r="T75" s="293">
        <f t="shared" si="21"/>
        <v>0</v>
      </c>
    </row>
    <row r="76" spans="1:26" x14ac:dyDescent="0.25">
      <c r="A76" s="125" t="s">
        <v>370</v>
      </c>
      <c r="B76">
        <v>20271</v>
      </c>
      <c r="C76" s="121" t="s">
        <v>546</v>
      </c>
      <c r="D76" t="s">
        <v>229</v>
      </c>
      <c r="E76" s="216">
        <f t="shared" si="18"/>
        <v>14</v>
      </c>
      <c r="F76" s="348">
        <f t="shared" si="19"/>
        <v>483.33</v>
      </c>
      <c r="G76" s="344">
        <f t="shared" si="22"/>
        <v>6766.62</v>
      </c>
      <c r="H76" s="222" t="s">
        <v>175</v>
      </c>
      <c r="I76" s="278"/>
      <c r="J76" s="278">
        <v>483.33</v>
      </c>
      <c r="K76" s="278"/>
      <c r="L76" s="278"/>
      <c r="M76" s="278"/>
      <c r="N76" s="278"/>
      <c r="O76" s="278"/>
      <c r="P76" s="278"/>
      <c r="Q76" s="183">
        <v>1</v>
      </c>
      <c r="R76" s="303">
        <f t="shared" si="20"/>
        <v>483.33</v>
      </c>
      <c r="S76" s="184">
        <v>1</v>
      </c>
      <c r="T76" s="293">
        <f t="shared" si="21"/>
        <v>483.33</v>
      </c>
      <c r="U76" s="185">
        <v>6</v>
      </c>
      <c r="V76" s="291">
        <f t="shared" ref="V76:V92" si="23">$F76*U76</f>
        <v>2899.98</v>
      </c>
      <c r="W76" s="186">
        <v>0</v>
      </c>
      <c r="X76" s="283">
        <f t="shared" ref="X76:X92" si="24">$F76*W76</f>
        <v>0</v>
      </c>
      <c r="Y76" s="187">
        <v>6</v>
      </c>
      <c r="Z76" s="273">
        <f t="shared" ref="Z76:Z92" si="25">$F76*Y76</f>
        <v>2899.98</v>
      </c>
    </row>
    <row r="77" spans="1:26" ht="45" x14ac:dyDescent="0.25">
      <c r="A77" s="125" t="s">
        <v>372</v>
      </c>
      <c r="B77">
        <v>42717</v>
      </c>
      <c r="C77" s="121" t="s">
        <v>488</v>
      </c>
      <c r="D77" s="142" t="s">
        <v>229</v>
      </c>
      <c r="E77" s="216">
        <f t="shared" si="18"/>
        <v>4</v>
      </c>
      <c r="F77" s="348">
        <f t="shared" si="19"/>
        <v>324.79000000000002</v>
      </c>
      <c r="G77" s="344">
        <f t="shared" si="22"/>
        <v>1299.1600000000001</v>
      </c>
      <c r="H77" s="222" t="s">
        <v>175</v>
      </c>
      <c r="I77" s="332"/>
      <c r="J77" s="332">
        <v>324.79000000000002</v>
      </c>
      <c r="K77" s="332"/>
      <c r="L77" s="332"/>
      <c r="M77" s="332"/>
      <c r="N77" s="332"/>
      <c r="O77" s="332"/>
      <c r="P77" s="332"/>
      <c r="Q77" s="183">
        <v>0</v>
      </c>
      <c r="R77" s="303">
        <f t="shared" si="20"/>
        <v>0</v>
      </c>
      <c r="S77" s="184">
        <v>0</v>
      </c>
      <c r="T77" s="293">
        <f t="shared" si="21"/>
        <v>0</v>
      </c>
      <c r="U77" s="185">
        <v>0</v>
      </c>
      <c r="V77" s="291">
        <f t="shared" si="23"/>
        <v>0</v>
      </c>
      <c r="W77" s="186">
        <v>4</v>
      </c>
      <c r="X77" s="283">
        <f t="shared" si="24"/>
        <v>1299.1600000000001</v>
      </c>
      <c r="Y77" s="188">
        <v>0</v>
      </c>
      <c r="Z77" s="273">
        <f t="shared" si="25"/>
        <v>0</v>
      </c>
    </row>
    <row r="78" spans="1:26" ht="45" x14ac:dyDescent="0.25">
      <c r="A78" s="125" t="s">
        <v>373</v>
      </c>
      <c r="B78">
        <v>42718</v>
      </c>
      <c r="C78" s="121" t="s">
        <v>489</v>
      </c>
      <c r="D78" s="142" t="s">
        <v>229</v>
      </c>
      <c r="E78" s="216">
        <f t="shared" si="18"/>
        <v>4</v>
      </c>
      <c r="F78" s="348">
        <f t="shared" si="19"/>
        <v>360.58</v>
      </c>
      <c r="G78" s="344">
        <f t="shared" si="22"/>
        <v>1442.32</v>
      </c>
      <c r="H78" s="222" t="s">
        <v>175</v>
      </c>
      <c r="I78" s="332"/>
      <c r="J78" s="332">
        <v>360.58</v>
      </c>
      <c r="K78" s="332"/>
      <c r="L78" s="332"/>
      <c r="M78" s="332"/>
      <c r="N78" s="332"/>
      <c r="O78" s="332"/>
      <c r="P78" s="332"/>
      <c r="Q78" s="183">
        <v>0</v>
      </c>
      <c r="R78" s="303">
        <f t="shared" si="20"/>
        <v>0</v>
      </c>
      <c r="S78" s="184">
        <v>0</v>
      </c>
      <c r="T78" s="293">
        <f t="shared" si="21"/>
        <v>0</v>
      </c>
      <c r="U78" s="185">
        <v>0</v>
      </c>
      <c r="V78" s="291">
        <f t="shared" si="23"/>
        <v>0</v>
      </c>
      <c r="W78" s="186">
        <v>4</v>
      </c>
      <c r="X78" s="283">
        <f t="shared" si="24"/>
        <v>1442.32</v>
      </c>
      <c r="Y78" s="188">
        <v>0</v>
      </c>
      <c r="Z78" s="273">
        <f t="shared" si="25"/>
        <v>0</v>
      </c>
    </row>
    <row r="79" spans="1:26" ht="45" x14ac:dyDescent="0.25">
      <c r="A79" s="125" t="s">
        <v>375</v>
      </c>
      <c r="B79">
        <v>37420</v>
      </c>
      <c r="C79" s="121" t="s">
        <v>490</v>
      </c>
      <c r="D79" s="142" t="s">
        <v>229</v>
      </c>
      <c r="E79" s="216">
        <f t="shared" si="18"/>
        <v>26</v>
      </c>
      <c r="F79" s="348">
        <f t="shared" si="19"/>
        <v>33.61</v>
      </c>
      <c r="G79" s="344">
        <f t="shared" si="22"/>
        <v>873.86000000000013</v>
      </c>
      <c r="H79" s="222" t="s">
        <v>175</v>
      </c>
      <c r="I79" s="332"/>
      <c r="J79" s="332">
        <v>33.61</v>
      </c>
      <c r="K79" s="332"/>
      <c r="L79" s="332"/>
      <c r="M79" s="332"/>
      <c r="N79" s="332"/>
      <c r="O79" s="332"/>
      <c r="P79" s="332"/>
      <c r="Q79" s="183">
        <v>4</v>
      </c>
      <c r="R79" s="303">
        <f t="shared" si="20"/>
        <v>134.44</v>
      </c>
      <c r="S79" s="184">
        <v>4</v>
      </c>
      <c r="T79" s="293">
        <f t="shared" si="21"/>
        <v>134.44</v>
      </c>
      <c r="U79" s="185">
        <v>10</v>
      </c>
      <c r="V79" s="291">
        <f t="shared" si="23"/>
        <v>336.1</v>
      </c>
      <c r="W79" s="186">
        <v>4</v>
      </c>
      <c r="X79" s="283">
        <f t="shared" si="24"/>
        <v>134.44</v>
      </c>
      <c r="Y79" s="188">
        <v>4</v>
      </c>
      <c r="Z79" s="273">
        <f t="shared" si="25"/>
        <v>134.44</v>
      </c>
    </row>
    <row r="80" spans="1:26" ht="30" x14ac:dyDescent="0.25">
      <c r="A80" s="125" t="s">
        <v>376</v>
      </c>
      <c r="B80">
        <v>11663</v>
      </c>
      <c r="C80" s="121" t="s">
        <v>491</v>
      </c>
      <c r="D80" t="s">
        <v>229</v>
      </c>
      <c r="E80" s="216">
        <f t="shared" si="18"/>
        <v>21</v>
      </c>
      <c r="F80" s="348">
        <f t="shared" si="19"/>
        <v>253.98</v>
      </c>
      <c r="G80" s="344">
        <f t="shared" si="22"/>
        <v>5333.58</v>
      </c>
      <c r="H80" s="222" t="s">
        <v>175</v>
      </c>
      <c r="I80" s="332"/>
      <c r="J80" s="332">
        <v>253.98</v>
      </c>
      <c r="K80" s="332"/>
      <c r="L80" s="332"/>
      <c r="M80" s="332"/>
      <c r="N80" s="332"/>
      <c r="O80" s="332"/>
      <c r="P80" s="332"/>
      <c r="Q80" s="183">
        <v>6</v>
      </c>
      <c r="R80" s="303">
        <f t="shared" si="20"/>
        <v>1523.8799999999999</v>
      </c>
      <c r="S80" s="184">
        <v>3</v>
      </c>
      <c r="T80" s="293">
        <f t="shared" si="21"/>
        <v>761.93999999999994</v>
      </c>
      <c r="U80" s="185">
        <v>6</v>
      </c>
      <c r="V80" s="291">
        <f t="shared" si="23"/>
        <v>1523.8799999999999</v>
      </c>
      <c r="W80" s="186">
        <v>0</v>
      </c>
      <c r="X80" s="283">
        <f t="shared" si="24"/>
        <v>0</v>
      </c>
      <c r="Y80" s="187">
        <v>6</v>
      </c>
      <c r="Z80" s="273">
        <f t="shared" si="25"/>
        <v>1523.8799999999999</v>
      </c>
    </row>
    <row r="81" spans="1:26" ht="30" x14ac:dyDescent="0.25">
      <c r="A81" s="125" t="s">
        <v>378</v>
      </c>
      <c r="B81" s="142">
        <v>11762</v>
      </c>
      <c r="C81" s="143" t="s">
        <v>549</v>
      </c>
      <c r="D81" s="142" t="s">
        <v>229</v>
      </c>
      <c r="E81" s="216">
        <f t="shared" si="18"/>
        <v>65</v>
      </c>
      <c r="F81" s="348">
        <f t="shared" si="19"/>
        <v>4.8500000000000005</v>
      </c>
      <c r="G81" s="344">
        <f t="shared" si="22"/>
        <v>315.25000000000006</v>
      </c>
      <c r="H81" s="222" t="s">
        <v>1100</v>
      </c>
      <c r="I81" s="293">
        <v>2.81</v>
      </c>
      <c r="J81" s="327">
        <v>4.8499999999999996</v>
      </c>
      <c r="K81" s="327">
        <v>5</v>
      </c>
      <c r="L81" s="327"/>
      <c r="M81" s="327"/>
      <c r="N81" s="327"/>
      <c r="O81" s="327"/>
      <c r="P81" s="327">
        <v>4.7</v>
      </c>
      <c r="Q81" s="183">
        <v>5</v>
      </c>
      <c r="R81" s="303">
        <f t="shared" si="20"/>
        <v>24.250000000000004</v>
      </c>
      <c r="S81" s="184">
        <v>30</v>
      </c>
      <c r="T81" s="293">
        <f t="shared" si="21"/>
        <v>145.50000000000003</v>
      </c>
      <c r="U81" s="185">
        <v>20</v>
      </c>
      <c r="V81" s="291">
        <f t="shared" si="23"/>
        <v>97.000000000000014</v>
      </c>
      <c r="W81" s="186">
        <v>0</v>
      </c>
      <c r="X81" s="283">
        <f t="shared" si="24"/>
        <v>0</v>
      </c>
      <c r="Y81" s="187">
        <v>10</v>
      </c>
      <c r="Z81" s="273">
        <f t="shared" si="25"/>
        <v>48.500000000000007</v>
      </c>
    </row>
    <row r="82" spans="1:26" ht="30" x14ac:dyDescent="0.25">
      <c r="A82" s="125" t="s">
        <v>379</v>
      </c>
      <c r="B82" s="142">
        <v>13418</v>
      </c>
      <c r="C82" s="143" t="s">
        <v>550</v>
      </c>
      <c r="D82" s="142" t="s">
        <v>229</v>
      </c>
      <c r="E82" s="216">
        <f t="shared" si="18"/>
        <v>20</v>
      </c>
      <c r="F82" s="350">
        <f t="shared" si="19"/>
        <v>16.559999999999999</v>
      </c>
      <c r="G82" s="344">
        <f t="shared" si="22"/>
        <v>331.19999999999993</v>
      </c>
      <c r="H82" s="222" t="s">
        <v>175</v>
      </c>
      <c r="I82" s="332"/>
      <c r="J82" s="332">
        <v>16.559999999999999</v>
      </c>
      <c r="K82" s="332"/>
      <c r="L82" s="332"/>
      <c r="M82" s="332"/>
      <c r="N82" s="332"/>
      <c r="O82" s="332"/>
      <c r="P82" s="332"/>
      <c r="Q82" s="183">
        <v>2</v>
      </c>
      <c r="R82" s="303">
        <f t="shared" si="20"/>
        <v>33.119999999999997</v>
      </c>
      <c r="S82" s="184">
        <v>2</v>
      </c>
      <c r="T82" s="293">
        <f t="shared" si="21"/>
        <v>33.119999999999997</v>
      </c>
      <c r="U82" s="185">
        <v>10</v>
      </c>
      <c r="V82" s="291">
        <f t="shared" si="23"/>
        <v>165.6</v>
      </c>
      <c r="W82" s="186">
        <v>0</v>
      </c>
      <c r="X82" s="283">
        <f t="shared" si="24"/>
        <v>0</v>
      </c>
      <c r="Y82" s="187">
        <v>6</v>
      </c>
      <c r="Z82" s="273">
        <f t="shared" si="25"/>
        <v>99.359999999999985</v>
      </c>
    </row>
    <row r="83" spans="1:26" ht="30" x14ac:dyDescent="0.25">
      <c r="A83" s="125" t="s">
        <v>381</v>
      </c>
      <c r="B83" s="142">
        <v>11772</v>
      </c>
      <c r="C83" s="143" t="s">
        <v>551</v>
      </c>
      <c r="D83" s="142" t="s">
        <v>229</v>
      </c>
      <c r="E83" s="216">
        <f t="shared" si="18"/>
        <v>13</v>
      </c>
      <c r="F83" s="348">
        <f t="shared" si="19"/>
        <v>100.61</v>
      </c>
      <c r="G83" s="344">
        <f t="shared" si="22"/>
        <v>1307.9299999999998</v>
      </c>
      <c r="H83" s="222" t="s">
        <v>175</v>
      </c>
      <c r="I83" s="325"/>
      <c r="J83" s="325">
        <v>100.61</v>
      </c>
      <c r="K83" s="325"/>
      <c r="L83" s="325"/>
      <c r="M83" s="325"/>
      <c r="N83" s="325"/>
      <c r="O83" s="325"/>
      <c r="P83" s="325"/>
      <c r="Q83" s="80">
        <v>2</v>
      </c>
      <c r="R83" s="303">
        <f t="shared" si="20"/>
        <v>201.22</v>
      </c>
      <c r="S83" s="72">
        <v>2</v>
      </c>
      <c r="T83" s="293">
        <f t="shared" si="21"/>
        <v>201.22</v>
      </c>
      <c r="U83" s="74">
        <v>6</v>
      </c>
      <c r="V83" s="290">
        <f t="shared" si="23"/>
        <v>603.66</v>
      </c>
      <c r="W83" s="81">
        <v>0</v>
      </c>
      <c r="X83" s="282">
        <f t="shared" si="24"/>
        <v>0</v>
      </c>
      <c r="Y83" s="82">
        <v>3</v>
      </c>
      <c r="Z83" s="272">
        <f t="shared" si="25"/>
        <v>301.83</v>
      </c>
    </row>
    <row r="84" spans="1:26" ht="30" x14ac:dyDescent="0.25">
      <c r="A84" s="125" t="s">
        <v>382</v>
      </c>
      <c r="B84">
        <v>36796</v>
      </c>
      <c r="C84" s="143" t="s">
        <v>552</v>
      </c>
      <c r="D84" s="142" t="s">
        <v>229</v>
      </c>
      <c r="E84" s="216">
        <f t="shared" si="18"/>
        <v>36</v>
      </c>
      <c r="F84" s="348">
        <f t="shared" si="19"/>
        <v>166.61</v>
      </c>
      <c r="G84" s="344">
        <f t="shared" si="22"/>
        <v>5997.9600000000009</v>
      </c>
      <c r="H84" s="222" t="s">
        <v>175</v>
      </c>
      <c r="I84" s="325"/>
      <c r="J84" s="325">
        <v>166.61</v>
      </c>
      <c r="K84" s="325"/>
      <c r="L84" s="325"/>
      <c r="M84" s="325"/>
      <c r="N84" s="325"/>
      <c r="O84" s="325"/>
      <c r="P84" s="325"/>
      <c r="Q84" s="80">
        <v>12</v>
      </c>
      <c r="R84" s="303">
        <f t="shared" si="20"/>
        <v>1999.3200000000002</v>
      </c>
      <c r="S84" s="72">
        <v>6</v>
      </c>
      <c r="T84" s="293">
        <f t="shared" si="21"/>
        <v>999.66000000000008</v>
      </c>
      <c r="U84" s="74">
        <v>12</v>
      </c>
      <c r="V84" s="290">
        <f t="shared" si="23"/>
        <v>1999.3200000000002</v>
      </c>
      <c r="W84" s="81">
        <v>0</v>
      </c>
      <c r="X84" s="282">
        <f t="shared" si="24"/>
        <v>0</v>
      </c>
      <c r="Y84" s="82">
        <v>6</v>
      </c>
      <c r="Z84" s="272">
        <f t="shared" si="25"/>
        <v>999.66000000000008</v>
      </c>
    </row>
    <row r="85" spans="1:26" ht="30" x14ac:dyDescent="0.25">
      <c r="A85" s="125" t="s">
        <v>384</v>
      </c>
      <c r="B85">
        <v>13415</v>
      </c>
      <c r="C85" s="143" t="s">
        <v>553</v>
      </c>
      <c r="D85" s="142" t="s">
        <v>229</v>
      </c>
      <c r="E85" s="216">
        <f t="shared" si="18"/>
        <v>36</v>
      </c>
      <c r="F85" s="348">
        <f t="shared" si="19"/>
        <v>49.9</v>
      </c>
      <c r="G85" s="344">
        <f t="shared" si="22"/>
        <v>1796.3999999999999</v>
      </c>
      <c r="H85" s="222" t="s">
        <v>175</v>
      </c>
      <c r="I85" s="325"/>
      <c r="J85" s="325">
        <v>49.9</v>
      </c>
      <c r="K85" s="325"/>
      <c r="L85" s="325"/>
      <c r="M85" s="325"/>
      <c r="N85" s="325"/>
      <c r="O85" s="325"/>
      <c r="P85" s="325"/>
      <c r="Q85" s="80">
        <v>6</v>
      </c>
      <c r="R85" s="303">
        <f t="shared" si="20"/>
        <v>299.39999999999998</v>
      </c>
      <c r="S85" s="72">
        <v>6</v>
      </c>
      <c r="T85" s="293">
        <f t="shared" si="21"/>
        <v>299.39999999999998</v>
      </c>
      <c r="U85" s="74">
        <v>12</v>
      </c>
      <c r="V85" s="290">
        <f t="shared" si="23"/>
        <v>598.79999999999995</v>
      </c>
      <c r="W85" s="81">
        <v>0</v>
      </c>
      <c r="X85" s="282">
        <f t="shared" si="24"/>
        <v>0</v>
      </c>
      <c r="Y85" s="82">
        <v>12</v>
      </c>
      <c r="Z85" s="272">
        <f t="shared" si="25"/>
        <v>598.79999999999995</v>
      </c>
    </row>
    <row r="86" spans="1:26" ht="30" x14ac:dyDescent="0.25">
      <c r="A86" s="125" t="s">
        <v>385</v>
      </c>
      <c r="B86" s="142">
        <v>13983</v>
      </c>
      <c r="C86" s="143" t="s">
        <v>554</v>
      </c>
      <c r="D86" s="142" t="s">
        <v>229</v>
      </c>
      <c r="E86" s="216">
        <f t="shared" si="18"/>
        <v>55</v>
      </c>
      <c r="F86" s="349">
        <f t="shared" si="19"/>
        <v>51.24</v>
      </c>
      <c r="G86" s="344">
        <f t="shared" si="22"/>
        <v>2818.2000000000003</v>
      </c>
      <c r="H86" s="8" t="s">
        <v>175</v>
      </c>
      <c r="I86" s="332"/>
      <c r="J86" s="332">
        <v>51.24</v>
      </c>
      <c r="K86" s="332"/>
      <c r="L86" s="332"/>
      <c r="M86" s="332"/>
      <c r="N86" s="332"/>
      <c r="O86" s="332"/>
      <c r="P86" s="332"/>
      <c r="Q86" s="204">
        <v>5</v>
      </c>
      <c r="R86" s="303">
        <f t="shared" si="20"/>
        <v>256.2</v>
      </c>
      <c r="S86" s="205">
        <v>20</v>
      </c>
      <c r="T86" s="293">
        <f t="shared" si="21"/>
        <v>1024.8</v>
      </c>
      <c r="U86" s="185">
        <v>20</v>
      </c>
      <c r="V86" s="291">
        <f t="shared" si="23"/>
        <v>1024.8</v>
      </c>
      <c r="W86" s="186">
        <v>0</v>
      </c>
      <c r="X86" s="283">
        <f t="shared" si="24"/>
        <v>0</v>
      </c>
      <c r="Y86" s="187">
        <v>10</v>
      </c>
      <c r="Z86" s="273">
        <f t="shared" si="25"/>
        <v>512.4</v>
      </c>
    </row>
    <row r="87" spans="1:26" ht="30" x14ac:dyDescent="0.25">
      <c r="A87" s="125" t="s">
        <v>387</v>
      </c>
      <c r="B87" s="142">
        <v>7604</v>
      </c>
      <c r="C87" s="143" t="s">
        <v>555</v>
      </c>
      <c r="D87" s="142" t="s">
        <v>229</v>
      </c>
      <c r="E87" s="216">
        <f t="shared" si="18"/>
        <v>8</v>
      </c>
      <c r="F87" s="348">
        <f t="shared" si="19"/>
        <v>15.78</v>
      </c>
      <c r="G87" s="344">
        <f t="shared" si="22"/>
        <v>126.24</v>
      </c>
      <c r="H87" s="8" t="s">
        <v>175</v>
      </c>
      <c r="I87" s="332"/>
      <c r="J87" s="332">
        <v>15.78</v>
      </c>
      <c r="K87" s="332"/>
      <c r="L87" s="332"/>
      <c r="M87" s="332"/>
      <c r="N87" s="332"/>
      <c r="O87" s="332"/>
      <c r="P87" s="332"/>
      <c r="Q87" s="204">
        <v>2</v>
      </c>
      <c r="R87" s="303">
        <f t="shared" si="20"/>
        <v>31.56</v>
      </c>
      <c r="S87" s="205">
        <v>2</v>
      </c>
      <c r="T87" s="293">
        <f t="shared" si="21"/>
        <v>31.56</v>
      </c>
      <c r="U87" s="185">
        <v>2</v>
      </c>
      <c r="V87" s="291">
        <f t="shared" si="23"/>
        <v>31.56</v>
      </c>
      <c r="W87" s="186">
        <v>0</v>
      </c>
      <c r="X87" s="283">
        <f t="shared" si="24"/>
        <v>0</v>
      </c>
      <c r="Y87" s="187">
        <v>2</v>
      </c>
      <c r="Z87" s="273">
        <f t="shared" si="25"/>
        <v>31.56</v>
      </c>
    </row>
    <row r="88" spans="1:26" ht="30" x14ac:dyDescent="0.25">
      <c r="A88" s="125" t="s">
        <v>388</v>
      </c>
      <c r="B88" s="142">
        <v>11825</v>
      </c>
      <c r="C88" s="143" t="s">
        <v>558</v>
      </c>
      <c r="D88" s="142" t="s">
        <v>229</v>
      </c>
      <c r="E88" s="216">
        <f t="shared" si="18"/>
        <v>28</v>
      </c>
      <c r="F88" s="348">
        <f t="shared" si="19"/>
        <v>24.53</v>
      </c>
      <c r="G88" s="344">
        <f t="shared" si="22"/>
        <v>686.84</v>
      </c>
      <c r="H88" s="8" t="s">
        <v>175</v>
      </c>
      <c r="I88" s="332"/>
      <c r="J88" s="332">
        <v>24.53</v>
      </c>
      <c r="K88" s="332"/>
      <c r="L88" s="332"/>
      <c r="M88" s="332"/>
      <c r="N88" s="332"/>
      <c r="O88" s="332"/>
      <c r="P88" s="332"/>
      <c r="Q88" s="204">
        <v>4</v>
      </c>
      <c r="R88" s="303">
        <f t="shared" si="20"/>
        <v>98.12</v>
      </c>
      <c r="S88" s="205">
        <v>4</v>
      </c>
      <c r="T88" s="293">
        <f t="shared" si="21"/>
        <v>98.12</v>
      </c>
      <c r="U88" s="185">
        <v>12</v>
      </c>
      <c r="V88" s="291">
        <f t="shared" si="23"/>
        <v>294.36</v>
      </c>
      <c r="W88" s="186">
        <v>0</v>
      </c>
      <c r="X88" s="283">
        <f t="shared" si="24"/>
        <v>0</v>
      </c>
      <c r="Y88" s="187">
        <v>8</v>
      </c>
      <c r="Z88" s="273">
        <f t="shared" si="25"/>
        <v>196.24</v>
      </c>
    </row>
    <row r="89" spans="1:26" ht="45" x14ac:dyDescent="0.25">
      <c r="A89" s="125" t="s">
        <v>390</v>
      </c>
      <c r="B89" s="142">
        <v>11764</v>
      </c>
      <c r="C89" s="143" t="s">
        <v>556</v>
      </c>
      <c r="D89" s="142" t="s">
        <v>229</v>
      </c>
      <c r="E89" s="216">
        <f t="shared" si="18"/>
        <v>12</v>
      </c>
      <c r="F89" s="348">
        <f t="shared" si="19"/>
        <v>59.7</v>
      </c>
      <c r="G89" s="344">
        <f t="shared" si="22"/>
        <v>716.40000000000009</v>
      </c>
      <c r="H89" s="8" t="s">
        <v>175</v>
      </c>
      <c r="I89" s="332"/>
      <c r="J89" s="332">
        <v>59.7</v>
      </c>
      <c r="K89" s="332"/>
      <c r="L89" s="332"/>
      <c r="M89" s="332"/>
      <c r="N89" s="332"/>
      <c r="O89" s="332"/>
      <c r="P89" s="332"/>
      <c r="Q89" s="204">
        <v>0</v>
      </c>
      <c r="R89" s="303">
        <f t="shared" si="20"/>
        <v>0</v>
      </c>
      <c r="S89" s="205">
        <v>0</v>
      </c>
      <c r="T89" s="293">
        <f t="shared" si="21"/>
        <v>0</v>
      </c>
      <c r="U89" s="185">
        <v>12</v>
      </c>
      <c r="V89" s="291">
        <f t="shared" si="23"/>
        <v>716.40000000000009</v>
      </c>
      <c r="W89" s="186">
        <v>0</v>
      </c>
      <c r="X89" s="283">
        <f t="shared" si="24"/>
        <v>0</v>
      </c>
      <c r="Y89" s="187">
        <v>0</v>
      </c>
      <c r="Z89" s="273">
        <f t="shared" si="25"/>
        <v>0</v>
      </c>
    </row>
    <row r="90" spans="1:26" ht="45" x14ac:dyDescent="0.25">
      <c r="A90" s="125" t="s">
        <v>391</v>
      </c>
      <c r="B90" s="142">
        <v>11829</v>
      </c>
      <c r="C90" s="143" t="s">
        <v>557</v>
      </c>
      <c r="D90" s="142" t="s">
        <v>229</v>
      </c>
      <c r="E90" s="216">
        <f t="shared" si="18"/>
        <v>16</v>
      </c>
      <c r="F90" s="348">
        <f t="shared" si="19"/>
        <v>14.31</v>
      </c>
      <c r="G90" s="344">
        <f t="shared" si="22"/>
        <v>228.96</v>
      </c>
      <c r="H90" s="222" t="s">
        <v>175</v>
      </c>
      <c r="I90" s="325"/>
      <c r="J90" s="325">
        <v>14.31</v>
      </c>
      <c r="K90" s="325"/>
      <c r="L90" s="325"/>
      <c r="M90" s="325"/>
      <c r="N90" s="325"/>
      <c r="O90" s="325"/>
      <c r="P90" s="325"/>
      <c r="Q90" s="80">
        <v>4</v>
      </c>
      <c r="R90" s="303">
        <f t="shared" si="20"/>
        <v>57.24</v>
      </c>
      <c r="S90" s="72">
        <v>4</v>
      </c>
      <c r="T90" s="293">
        <f t="shared" si="21"/>
        <v>57.24</v>
      </c>
      <c r="U90" s="74">
        <v>4</v>
      </c>
      <c r="V90" s="290">
        <f t="shared" si="23"/>
        <v>57.24</v>
      </c>
      <c r="W90" s="81">
        <v>0</v>
      </c>
      <c r="X90" s="282">
        <f t="shared" si="24"/>
        <v>0</v>
      </c>
      <c r="Y90" s="82">
        <v>4</v>
      </c>
      <c r="Z90" s="272">
        <f t="shared" si="25"/>
        <v>57.24</v>
      </c>
    </row>
    <row r="91" spans="1:26" ht="45" x14ac:dyDescent="0.25">
      <c r="A91" s="125" t="s">
        <v>393</v>
      </c>
      <c r="B91">
        <v>11830</v>
      </c>
      <c r="C91" s="121" t="s">
        <v>559</v>
      </c>
      <c r="D91" t="s">
        <v>229</v>
      </c>
      <c r="E91" s="216">
        <f t="shared" si="18"/>
        <v>26</v>
      </c>
      <c r="F91" s="350">
        <f t="shared" si="19"/>
        <v>15.46</v>
      </c>
      <c r="G91" s="344">
        <f t="shared" si="22"/>
        <v>401.96000000000004</v>
      </c>
      <c r="H91" s="228" t="s">
        <v>175</v>
      </c>
      <c r="I91" s="331"/>
      <c r="J91" s="331">
        <v>15.46</v>
      </c>
      <c r="K91" s="331"/>
      <c r="L91" s="331"/>
      <c r="M91" s="331"/>
      <c r="N91" s="331"/>
      <c r="O91" s="331"/>
      <c r="P91" s="331"/>
      <c r="Q91" s="80">
        <v>2</v>
      </c>
      <c r="R91" s="303">
        <f t="shared" si="20"/>
        <v>30.92</v>
      </c>
      <c r="S91" s="72">
        <v>6</v>
      </c>
      <c r="T91" s="293">
        <f t="shared" si="21"/>
        <v>92.76</v>
      </c>
      <c r="U91" s="74">
        <v>12</v>
      </c>
      <c r="V91" s="290">
        <f t="shared" si="23"/>
        <v>185.52</v>
      </c>
      <c r="W91" s="81">
        <v>0</v>
      </c>
      <c r="X91" s="282">
        <f t="shared" si="24"/>
        <v>0</v>
      </c>
      <c r="Y91" s="82">
        <v>6</v>
      </c>
      <c r="Z91" s="272">
        <f t="shared" si="25"/>
        <v>92.76</v>
      </c>
    </row>
    <row r="92" spans="1:26" ht="30" x14ac:dyDescent="0.25">
      <c r="A92" s="125" t="s">
        <v>394</v>
      </c>
      <c r="B92">
        <v>11777</v>
      </c>
      <c r="C92" s="121" t="s">
        <v>560</v>
      </c>
      <c r="D92" t="s">
        <v>229</v>
      </c>
      <c r="E92" s="216">
        <f t="shared" si="18"/>
        <v>36</v>
      </c>
      <c r="F92" s="348">
        <f t="shared" si="19"/>
        <v>127.08</v>
      </c>
      <c r="G92" s="344">
        <f t="shared" si="22"/>
        <v>4574.88</v>
      </c>
      <c r="H92" s="222" t="s">
        <v>1100</v>
      </c>
      <c r="I92" s="262">
        <v>116</v>
      </c>
      <c r="J92" s="330">
        <v>103.45</v>
      </c>
      <c r="K92" s="330">
        <v>150</v>
      </c>
      <c r="L92" s="330">
        <v>109.9</v>
      </c>
      <c r="M92" s="330">
        <v>109.9</v>
      </c>
      <c r="N92" s="330">
        <v>98.45</v>
      </c>
      <c r="O92" s="330">
        <v>109.29</v>
      </c>
      <c r="P92" s="330">
        <v>208.57</v>
      </c>
      <c r="Q92" s="389">
        <v>5</v>
      </c>
      <c r="R92" s="303">
        <f t="shared" si="20"/>
        <v>635.4</v>
      </c>
      <c r="S92" s="390">
        <v>6</v>
      </c>
      <c r="T92" s="301">
        <f t="shared" si="21"/>
        <v>762.48</v>
      </c>
      <c r="U92" s="139">
        <v>15</v>
      </c>
      <c r="V92" s="296">
        <f t="shared" si="23"/>
        <v>1906.2</v>
      </c>
      <c r="W92" s="140">
        <v>0</v>
      </c>
      <c r="X92" s="287">
        <f t="shared" si="24"/>
        <v>0</v>
      </c>
      <c r="Y92" s="141">
        <v>10</v>
      </c>
      <c r="Z92" s="279">
        <f t="shared" si="25"/>
        <v>1270.8</v>
      </c>
    </row>
    <row r="93" spans="1:26" ht="30" x14ac:dyDescent="0.25">
      <c r="A93" s="125" t="s">
        <v>396</v>
      </c>
      <c r="B93">
        <v>11822</v>
      </c>
      <c r="C93" s="121" t="s">
        <v>561</v>
      </c>
      <c r="D93" t="s">
        <v>229</v>
      </c>
      <c r="E93" s="216">
        <f t="shared" si="18"/>
        <v>0</v>
      </c>
      <c r="F93" s="351">
        <f t="shared" si="19"/>
        <v>25.39</v>
      </c>
      <c r="G93" s="344">
        <f t="shared" si="22"/>
        <v>0</v>
      </c>
      <c r="H93" s="6" t="s">
        <v>175</v>
      </c>
      <c r="I93" s="278"/>
      <c r="J93" s="278">
        <v>25.39</v>
      </c>
      <c r="K93" s="278"/>
      <c r="L93" s="278"/>
      <c r="M93" s="278"/>
      <c r="N93" s="278"/>
      <c r="O93" s="278"/>
      <c r="P93" s="278"/>
      <c r="Q93" s="388"/>
      <c r="R93" s="303">
        <f t="shared" si="20"/>
        <v>0</v>
      </c>
      <c r="S93" s="372"/>
    </row>
    <row r="94" spans="1:26" ht="30" x14ac:dyDescent="0.25">
      <c r="A94" s="125" t="s">
        <v>397</v>
      </c>
      <c r="B94">
        <v>11831</v>
      </c>
      <c r="C94" s="121" t="s">
        <v>562</v>
      </c>
      <c r="D94" t="s">
        <v>229</v>
      </c>
      <c r="E94" s="216">
        <f t="shared" si="18"/>
        <v>0</v>
      </c>
      <c r="F94" s="348">
        <f t="shared" si="19"/>
        <v>19.28</v>
      </c>
      <c r="G94" s="344">
        <f t="shared" si="22"/>
        <v>0</v>
      </c>
      <c r="H94" s="222" t="s">
        <v>175</v>
      </c>
      <c r="I94" s="325"/>
      <c r="J94" s="325">
        <v>19.28</v>
      </c>
      <c r="K94" s="325"/>
      <c r="L94" s="325"/>
      <c r="M94" s="325"/>
      <c r="N94" s="325"/>
      <c r="O94" s="325"/>
      <c r="P94" s="325"/>
      <c r="Q94" s="125"/>
      <c r="R94" s="303">
        <f t="shared" si="20"/>
        <v>0</v>
      </c>
      <c r="S94" s="125"/>
      <c r="U94" s="125"/>
      <c r="V94" s="277"/>
      <c r="W94" s="125"/>
      <c r="X94" s="277"/>
      <c r="Y94" s="125"/>
      <c r="Z94" s="277"/>
    </row>
    <row r="95" spans="1:26" x14ac:dyDescent="0.25">
      <c r="A95" s="125" t="s">
        <v>398</v>
      </c>
      <c r="B95">
        <v>41930</v>
      </c>
      <c r="C95" s="121" t="s">
        <v>492</v>
      </c>
      <c r="D95" t="s">
        <v>237</v>
      </c>
      <c r="E95" s="216">
        <f t="shared" si="18"/>
        <v>0</v>
      </c>
      <c r="F95" s="351">
        <f t="shared" si="19"/>
        <v>61.15</v>
      </c>
      <c r="G95" s="344">
        <f t="shared" si="22"/>
        <v>0</v>
      </c>
      <c r="H95" s="6" t="s">
        <v>175</v>
      </c>
      <c r="I95" s="278"/>
      <c r="J95" s="278">
        <v>61.15</v>
      </c>
      <c r="K95" s="278"/>
      <c r="L95" s="278"/>
      <c r="M95" s="278"/>
      <c r="N95" s="278"/>
      <c r="O95" s="278"/>
      <c r="P95" s="278"/>
      <c r="Q95" s="388"/>
      <c r="R95" s="303">
        <f t="shared" si="20"/>
        <v>0</v>
      </c>
      <c r="S95" s="372"/>
    </row>
    <row r="96" spans="1:26" x14ac:dyDescent="0.25">
      <c r="A96" s="125" t="s">
        <v>399</v>
      </c>
      <c r="B96">
        <v>41931</v>
      </c>
      <c r="C96" s="121" t="s">
        <v>493</v>
      </c>
      <c r="D96" t="s">
        <v>237</v>
      </c>
      <c r="E96" s="216">
        <f t="shared" si="18"/>
        <v>0</v>
      </c>
      <c r="F96" s="348">
        <f t="shared" si="19"/>
        <v>104.27</v>
      </c>
      <c r="G96" s="344">
        <f t="shared" si="22"/>
        <v>0</v>
      </c>
      <c r="H96" s="222" t="s">
        <v>175</v>
      </c>
      <c r="I96" s="325"/>
      <c r="J96" s="325">
        <v>104.27</v>
      </c>
      <c r="K96" s="325"/>
      <c r="L96" s="325"/>
      <c r="M96" s="325"/>
      <c r="N96" s="325"/>
      <c r="O96" s="325"/>
      <c r="P96" s="325"/>
      <c r="Q96" s="125"/>
      <c r="R96" s="303">
        <f t="shared" si="20"/>
        <v>0</v>
      </c>
      <c r="S96" s="125"/>
      <c r="U96" s="125"/>
      <c r="V96" s="277"/>
      <c r="W96" s="125"/>
      <c r="X96" s="277"/>
      <c r="Y96" s="125"/>
      <c r="Z96" s="277"/>
    </row>
    <row r="97" spans="1:28" x14ac:dyDescent="0.25">
      <c r="A97" s="125" t="s">
        <v>400</v>
      </c>
      <c r="B97">
        <v>41932</v>
      </c>
      <c r="C97" s="121" t="s">
        <v>494</v>
      </c>
      <c r="D97" t="s">
        <v>237</v>
      </c>
      <c r="E97" s="216">
        <f t="shared" si="18"/>
        <v>0</v>
      </c>
      <c r="F97" s="351">
        <f t="shared" si="19"/>
        <v>168.42</v>
      </c>
      <c r="G97" s="344">
        <f t="shared" si="22"/>
        <v>0</v>
      </c>
      <c r="H97" s="6" t="s">
        <v>175</v>
      </c>
      <c r="I97" s="278"/>
      <c r="J97" s="278">
        <v>168.42</v>
      </c>
      <c r="K97" s="278"/>
      <c r="L97" s="278"/>
      <c r="M97" s="278"/>
      <c r="N97" s="278"/>
      <c r="O97" s="278"/>
      <c r="P97" s="278"/>
      <c r="Q97" s="388"/>
      <c r="R97" s="303">
        <f t="shared" si="20"/>
        <v>0</v>
      </c>
      <c r="S97" s="372"/>
    </row>
    <row r="98" spans="1:28" ht="30" x14ac:dyDescent="0.25">
      <c r="A98" s="125" t="s">
        <v>401</v>
      </c>
      <c r="B98">
        <v>41936</v>
      </c>
      <c r="C98" s="121" t="s">
        <v>495</v>
      </c>
      <c r="D98" t="s">
        <v>237</v>
      </c>
      <c r="E98" s="216">
        <f t="shared" si="18"/>
        <v>0</v>
      </c>
      <c r="F98" s="348">
        <f t="shared" si="19"/>
        <v>40.729999999999997</v>
      </c>
      <c r="G98" s="344">
        <f t="shared" si="22"/>
        <v>0</v>
      </c>
      <c r="H98" s="222" t="s">
        <v>175</v>
      </c>
      <c r="I98" s="325"/>
      <c r="J98" s="325">
        <v>40.729999999999997</v>
      </c>
      <c r="K98" s="325"/>
      <c r="L98" s="325"/>
      <c r="M98" s="325"/>
      <c r="N98" s="325"/>
      <c r="O98" s="325"/>
      <c r="P98" s="325"/>
      <c r="Q98" s="125"/>
      <c r="R98" s="303">
        <f t="shared" si="20"/>
        <v>0</v>
      </c>
      <c r="S98" s="125"/>
      <c r="U98" s="125"/>
      <c r="V98" s="277"/>
      <c r="W98" s="125"/>
      <c r="X98" s="277"/>
      <c r="Y98" s="125"/>
      <c r="Z98" s="277"/>
    </row>
    <row r="99" spans="1:28" ht="30" x14ac:dyDescent="0.25">
      <c r="A99" s="125" t="s">
        <v>402</v>
      </c>
      <c r="B99">
        <v>7720</v>
      </c>
      <c r="C99" s="121" t="s">
        <v>496</v>
      </c>
      <c r="D99" t="s">
        <v>237</v>
      </c>
      <c r="E99" s="216">
        <f t="shared" si="18"/>
        <v>0</v>
      </c>
      <c r="F99" s="348">
        <f t="shared" si="19"/>
        <v>373.39</v>
      </c>
      <c r="G99" s="344">
        <f t="shared" si="22"/>
        <v>0</v>
      </c>
      <c r="H99" s="222" t="s">
        <v>175</v>
      </c>
      <c r="I99" s="331"/>
      <c r="J99" s="331">
        <v>373.39</v>
      </c>
      <c r="K99" s="331"/>
      <c r="L99" s="331"/>
      <c r="M99" s="331"/>
      <c r="N99" s="331"/>
      <c r="O99" s="331"/>
      <c r="P99" s="331"/>
      <c r="Q99" s="182"/>
      <c r="R99" s="305">
        <f t="shared" si="20"/>
        <v>0</v>
      </c>
      <c r="S99" s="182"/>
      <c r="U99" s="182"/>
      <c r="V99" s="346"/>
      <c r="W99" s="182"/>
      <c r="X99" s="346"/>
      <c r="Y99" s="182"/>
      <c r="Z99" s="346"/>
    </row>
    <row r="100" spans="1:28" ht="30" x14ac:dyDescent="0.25">
      <c r="A100" s="125" t="s">
        <v>403</v>
      </c>
      <c r="B100">
        <v>40335</v>
      </c>
      <c r="C100" s="121" t="s">
        <v>497</v>
      </c>
      <c r="D100" t="s">
        <v>237</v>
      </c>
      <c r="E100" s="216">
        <f t="shared" si="18"/>
        <v>0</v>
      </c>
      <c r="F100" s="349">
        <f t="shared" si="19"/>
        <v>76.05</v>
      </c>
      <c r="G100" s="344">
        <f t="shared" si="22"/>
        <v>0</v>
      </c>
      <c r="H100" s="6" t="s">
        <v>175</v>
      </c>
      <c r="I100" s="325"/>
      <c r="J100" s="325">
        <v>76.05</v>
      </c>
      <c r="K100" s="325"/>
      <c r="L100" s="325"/>
      <c r="M100" s="325"/>
      <c r="N100" s="325"/>
      <c r="O100" s="325"/>
      <c r="P100" s="325"/>
      <c r="Q100" s="125"/>
      <c r="R100" s="303">
        <f t="shared" si="20"/>
        <v>0</v>
      </c>
      <c r="S100" s="125"/>
      <c r="T100" s="277"/>
      <c r="U100" s="125"/>
      <c r="V100" s="277"/>
      <c r="W100" s="125"/>
      <c r="X100" s="277"/>
      <c r="Y100" s="125"/>
      <c r="Z100" s="277"/>
    </row>
    <row r="101" spans="1:28" ht="30" x14ac:dyDescent="0.25">
      <c r="A101" s="125" t="s">
        <v>405</v>
      </c>
      <c r="B101">
        <v>7740</v>
      </c>
      <c r="C101" s="121" t="s">
        <v>498</v>
      </c>
      <c r="D101" t="s">
        <v>237</v>
      </c>
      <c r="E101" s="216">
        <f t="shared" si="18"/>
        <v>0</v>
      </c>
      <c r="F101" s="348">
        <f t="shared" ref="F101:F132" si="26">IF(H101="SINAPI",J101,AVERAGE(J101:P101))</f>
        <v>103.76</v>
      </c>
      <c r="G101" s="344">
        <f t="shared" si="22"/>
        <v>0</v>
      </c>
      <c r="H101" s="6" t="s">
        <v>175</v>
      </c>
      <c r="I101" s="325"/>
      <c r="J101" s="325">
        <v>103.76</v>
      </c>
      <c r="K101" s="325"/>
      <c r="L101" s="325"/>
      <c r="M101" s="325"/>
      <c r="N101" s="325"/>
      <c r="O101" s="325"/>
      <c r="P101" s="325"/>
      <c r="Q101" s="125"/>
      <c r="R101" s="303">
        <f t="shared" ref="R101:R132" si="27">$F101*Q101</f>
        <v>0</v>
      </c>
      <c r="S101" s="125"/>
      <c r="T101" s="277"/>
      <c r="U101" s="125"/>
      <c r="V101" s="277"/>
      <c r="W101" s="125"/>
      <c r="X101" s="277"/>
      <c r="Y101" s="125"/>
      <c r="Z101" s="277"/>
    </row>
    <row r="102" spans="1:28" ht="30" x14ac:dyDescent="0.25">
      <c r="A102" s="125" t="s">
        <v>406</v>
      </c>
      <c r="B102">
        <v>38130</v>
      </c>
      <c r="C102" s="121" t="s">
        <v>499</v>
      </c>
      <c r="D102" t="s">
        <v>237</v>
      </c>
      <c r="E102" s="216">
        <f t="shared" si="18"/>
        <v>0</v>
      </c>
      <c r="F102" s="348">
        <f t="shared" si="26"/>
        <v>25.51</v>
      </c>
      <c r="G102" s="344">
        <f t="shared" si="22"/>
        <v>0</v>
      </c>
      <c r="H102" s="6" t="s">
        <v>175</v>
      </c>
      <c r="I102" s="325"/>
      <c r="J102" s="325">
        <v>25.51</v>
      </c>
      <c r="K102" s="325"/>
      <c r="L102" s="325"/>
      <c r="M102" s="325"/>
      <c r="N102" s="325"/>
      <c r="O102" s="325"/>
      <c r="P102" s="325"/>
      <c r="Q102" s="125"/>
      <c r="R102" s="303">
        <f t="shared" si="27"/>
        <v>0</v>
      </c>
      <c r="S102" s="125"/>
      <c r="T102" s="277"/>
      <c r="U102" s="125"/>
      <c r="V102" s="277"/>
      <c r="W102" s="125"/>
      <c r="X102" s="277"/>
      <c r="Y102" s="125"/>
      <c r="Z102" s="277"/>
    </row>
    <row r="103" spans="1:28" ht="30" x14ac:dyDescent="0.25">
      <c r="A103" s="125" t="s">
        <v>408</v>
      </c>
      <c r="B103">
        <v>21123</v>
      </c>
      <c r="C103" s="121" t="s">
        <v>500</v>
      </c>
      <c r="D103" t="s">
        <v>237</v>
      </c>
      <c r="E103" s="216">
        <f t="shared" si="18"/>
        <v>0</v>
      </c>
      <c r="F103" s="350">
        <f t="shared" si="26"/>
        <v>7.24</v>
      </c>
      <c r="G103" s="344">
        <f t="shared" si="22"/>
        <v>0</v>
      </c>
      <c r="H103" s="6" t="s">
        <v>175</v>
      </c>
      <c r="I103" s="325"/>
      <c r="J103" s="325">
        <v>7.24</v>
      </c>
      <c r="K103" s="325"/>
      <c r="L103" s="325"/>
      <c r="M103" s="325"/>
      <c r="N103" s="325"/>
      <c r="O103" s="325"/>
      <c r="P103" s="325"/>
      <c r="Q103" s="125"/>
      <c r="R103" s="303">
        <f t="shared" si="27"/>
        <v>0</v>
      </c>
      <c r="S103" s="125"/>
      <c r="T103" s="277"/>
      <c r="U103" s="125"/>
      <c r="V103" s="277"/>
      <c r="W103" s="125"/>
      <c r="X103" s="277"/>
      <c r="Y103" s="125"/>
      <c r="Z103" s="277"/>
    </row>
    <row r="104" spans="1:28" ht="30" x14ac:dyDescent="0.25">
      <c r="A104" s="125" t="s">
        <v>409</v>
      </c>
      <c r="B104" s="142">
        <v>21124</v>
      </c>
      <c r="C104" s="143" t="s">
        <v>501</v>
      </c>
      <c r="D104" s="125" t="s">
        <v>237</v>
      </c>
      <c r="E104" s="216">
        <f t="shared" si="18"/>
        <v>0</v>
      </c>
      <c r="F104" s="348">
        <f t="shared" si="26"/>
        <v>12.84</v>
      </c>
      <c r="G104" s="344">
        <f t="shared" si="22"/>
        <v>0</v>
      </c>
      <c r="H104" s="222" t="s">
        <v>175</v>
      </c>
      <c r="I104" s="385"/>
      <c r="J104" s="385">
        <v>12.84</v>
      </c>
      <c r="K104" s="385"/>
      <c r="L104" s="385"/>
      <c r="M104" s="385"/>
      <c r="N104" s="385"/>
      <c r="O104" s="385"/>
      <c r="P104" s="385"/>
      <c r="Q104" s="381"/>
      <c r="R104" s="307">
        <f t="shared" si="27"/>
        <v>0</v>
      </c>
      <c r="S104" s="381"/>
      <c r="T104" s="269"/>
      <c r="U104" s="381"/>
      <c r="V104" s="377"/>
      <c r="W104" s="381"/>
      <c r="X104" s="377"/>
      <c r="Y104" s="381"/>
      <c r="Z104" s="377"/>
    </row>
    <row r="105" spans="1:28" ht="30" x14ac:dyDescent="0.25">
      <c r="A105" s="125" t="s">
        <v>411</v>
      </c>
      <c r="B105" s="142">
        <v>21125</v>
      </c>
      <c r="C105" s="143" t="s">
        <v>502</v>
      </c>
      <c r="D105" s="142" t="s">
        <v>237</v>
      </c>
      <c r="E105" s="216">
        <f t="shared" si="18"/>
        <v>0</v>
      </c>
      <c r="F105" s="349">
        <f t="shared" si="26"/>
        <v>20.6</v>
      </c>
      <c r="G105" s="344">
        <f t="shared" si="22"/>
        <v>0</v>
      </c>
      <c r="H105" s="8" t="s">
        <v>175</v>
      </c>
      <c r="I105" s="325"/>
      <c r="J105" s="325">
        <v>20.6</v>
      </c>
      <c r="K105" s="325"/>
      <c r="L105" s="325"/>
      <c r="M105" s="325"/>
      <c r="N105" s="325"/>
      <c r="O105" s="325"/>
      <c r="P105" s="325"/>
      <c r="Q105" s="125"/>
      <c r="R105" s="303">
        <f t="shared" si="27"/>
        <v>0</v>
      </c>
      <c r="S105" s="125"/>
      <c r="T105" s="277"/>
      <c r="U105" s="125"/>
      <c r="V105" s="277"/>
      <c r="W105" s="125"/>
      <c r="X105" s="277"/>
      <c r="Y105" s="125"/>
      <c r="Z105" s="277"/>
    </row>
    <row r="106" spans="1:28" ht="60" x14ac:dyDescent="0.25">
      <c r="A106" s="125" t="s">
        <v>412</v>
      </c>
      <c r="B106" s="142">
        <v>39735</v>
      </c>
      <c r="C106" s="143" t="s">
        <v>503</v>
      </c>
      <c r="D106" s="142" t="s">
        <v>237</v>
      </c>
      <c r="E106" s="216">
        <f t="shared" si="18"/>
        <v>0</v>
      </c>
      <c r="F106" s="350">
        <f t="shared" si="26"/>
        <v>82.66</v>
      </c>
      <c r="G106" s="344">
        <f t="shared" si="22"/>
        <v>0</v>
      </c>
      <c r="H106" s="8" t="s">
        <v>175</v>
      </c>
      <c r="I106" s="325"/>
      <c r="J106" s="325">
        <v>82.66</v>
      </c>
      <c r="K106" s="325"/>
      <c r="L106" s="325"/>
      <c r="M106" s="325"/>
      <c r="N106" s="325"/>
      <c r="O106" s="325"/>
      <c r="P106" s="325"/>
      <c r="Q106" s="125"/>
      <c r="R106" s="303">
        <f t="shared" si="27"/>
        <v>0</v>
      </c>
      <c r="S106" s="125"/>
      <c r="T106" s="277"/>
      <c r="U106" s="125"/>
      <c r="V106" s="277"/>
      <c r="W106" s="125"/>
      <c r="X106" s="277"/>
      <c r="Y106" s="125"/>
      <c r="Z106" s="277"/>
    </row>
    <row r="107" spans="1:28" ht="60" x14ac:dyDescent="0.25">
      <c r="A107" s="125" t="s">
        <v>413</v>
      </c>
      <c r="B107" s="142">
        <v>39737</v>
      </c>
      <c r="C107" s="143" t="s">
        <v>504</v>
      </c>
      <c r="D107" s="142" t="s">
        <v>237</v>
      </c>
      <c r="E107" s="216">
        <f t="shared" si="18"/>
        <v>0</v>
      </c>
      <c r="F107" s="348">
        <f t="shared" si="26"/>
        <v>15.05</v>
      </c>
      <c r="G107" s="344">
        <f t="shared" si="22"/>
        <v>0</v>
      </c>
      <c r="H107" s="222" t="s">
        <v>175</v>
      </c>
      <c r="I107" s="384"/>
      <c r="J107" s="384">
        <v>15.05</v>
      </c>
      <c r="K107" s="384"/>
      <c r="L107" s="384"/>
      <c r="M107" s="384"/>
      <c r="N107" s="384"/>
      <c r="O107" s="384"/>
      <c r="P107" s="384"/>
      <c r="Q107" s="380"/>
      <c r="R107" s="306">
        <f t="shared" si="27"/>
        <v>0</v>
      </c>
      <c r="S107" s="380"/>
      <c r="T107" s="269"/>
      <c r="U107" s="380"/>
      <c r="V107" s="378"/>
      <c r="W107" s="380"/>
      <c r="X107" s="378"/>
      <c r="Y107" s="380"/>
      <c r="Z107" s="378"/>
    </row>
    <row r="108" spans="1:28" ht="60" x14ac:dyDescent="0.25">
      <c r="A108" s="125" t="s">
        <v>414</v>
      </c>
      <c r="B108" s="142">
        <v>39738</v>
      </c>
      <c r="C108" s="143" t="s">
        <v>505</v>
      </c>
      <c r="D108" s="142" t="s">
        <v>237</v>
      </c>
      <c r="E108" s="216">
        <f t="shared" si="18"/>
        <v>0</v>
      </c>
      <c r="F108" s="348">
        <f t="shared" si="26"/>
        <v>5.44</v>
      </c>
      <c r="G108" s="344">
        <f t="shared" si="22"/>
        <v>0</v>
      </c>
      <c r="H108" s="222" t="s">
        <v>175</v>
      </c>
      <c r="I108" s="325"/>
      <c r="J108" s="325">
        <v>5.44</v>
      </c>
      <c r="K108" s="325"/>
      <c r="L108" s="325"/>
      <c r="M108" s="325"/>
      <c r="N108" s="325"/>
      <c r="O108" s="325"/>
      <c r="P108" s="325"/>
      <c r="Q108" s="125"/>
      <c r="R108" s="303">
        <f t="shared" si="27"/>
        <v>0</v>
      </c>
      <c r="S108" s="125"/>
      <c r="T108" s="269"/>
      <c r="U108" s="125"/>
      <c r="V108" s="277"/>
      <c r="W108" s="125"/>
      <c r="X108" s="277"/>
      <c r="Y108" s="125"/>
      <c r="Z108" s="277"/>
    </row>
    <row r="109" spans="1:28" ht="30" x14ac:dyDescent="0.25">
      <c r="A109" s="125" t="s">
        <v>415</v>
      </c>
      <c r="B109" s="142">
        <v>37449</v>
      </c>
      <c r="C109" s="143" t="s">
        <v>506</v>
      </c>
      <c r="D109" s="142" t="s">
        <v>237</v>
      </c>
      <c r="E109" s="216">
        <f t="shared" si="18"/>
        <v>0</v>
      </c>
      <c r="F109" s="348">
        <f t="shared" si="26"/>
        <v>16.37</v>
      </c>
      <c r="G109" s="344">
        <f t="shared" si="22"/>
        <v>0</v>
      </c>
      <c r="H109" s="228" t="s">
        <v>175</v>
      </c>
      <c r="I109" s="325"/>
      <c r="J109" s="325">
        <v>16.37</v>
      </c>
      <c r="K109" s="325"/>
      <c r="L109" s="325"/>
      <c r="M109" s="325"/>
      <c r="N109" s="325"/>
      <c r="O109" s="325"/>
      <c r="P109" s="325"/>
      <c r="Q109" s="125"/>
      <c r="R109" s="303">
        <f t="shared" si="27"/>
        <v>0</v>
      </c>
      <c r="S109" s="125"/>
      <c r="T109" s="269"/>
      <c r="U109" s="125"/>
      <c r="V109" s="277"/>
      <c r="W109" s="125"/>
      <c r="X109" s="277"/>
      <c r="Y109" s="125"/>
      <c r="Z109" s="277"/>
    </row>
    <row r="110" spans="1:28" ht="30" x14ac:dyDescent="0.25">
      <c r="A110" s="125" t="s">
        <v>416</v>
      </c>
      <c r="B110" s="142">
        <v>37450</v>
      </c>
      <c r="C110" s="143" t="s">
        <v>507</v>
      </c>
      <c r="D110" s="142" t="s">
        <v>237</v>
      </c>
      <c r="E110" s="216">
        <f t="shared" si="18"/>
        <v>0</v>
      </c>
      <c r="F110" s="348">
        <f t="shared" si="26"/>
        <v>19.95</v>
      </c>
      <c r="G110" s="344">
        <f t="shared" si="22"/>
        <v>0</v>
      </c>
      <c r="H110" s="228" t="s">
        <v>175</v>
      </c>
      <c r="I110" s="325"/>
      <c r="J110" s="325">
        <v>19.95</v>
      </c>
      <c r="K110" s="325"/>
      <c r="L110" s="325"/>
      <c r="M110" s="325"/>
      <c r="N110" s="325"/>
      <c r="O110" s="325"/>
      <c r="P110" s="325"/>
      <c r="Q110" s="125"/>
      <c r="R110" s="303">
        <f t="shared" si="27"/>
        <v>0</v>
      </c>
      <c r="S110" s="125"/>
      <c r="T110" s="269"/>
      <c r="U110" s="125"/>
      <c r="V110" s="277"/>
      <c r="W110" s="125"/>
      <c r="X110" s="277"/>
      <c r="Y110" s="125"/>
      <c r="Z110" s="277"/>
      <c r="AA110" s="66"/>
      <c r="AB110" s="66"/>
    </row>
    <row r="111" spans="1:28" ht="30" x14ac:dyDescent="0.25">
      <c r="A111" s="125" t="s">
        <v>418</v>
      </c>
      <c r="B111" s="142">
        <v>37451</v>
      </c>
      <c r="C111" s="143" t="s">
        <v>508</v>
      </c>
      <c r="D111" s="142" t="s">
        <v>237</v>
      </c>
      <c r="E111" s="216">
        <f t="shared" si="18"/>
        <v>0</v>
      </c>
      <c r="F111" s="350">
        <f t="shared" si="26"/>
        <v>30.56</v>
      </c>
      <c r="G111" s="344">
        <f t="shared" si="22"/>
        <v>0</v>
      </c>
      <c r="H111" s="228" t="s">
        <v>175</v>
      </c>
      <c r="I111" s="331"/>
      <c r="J111" s="331">
        <v>30.56</v>
      </c>
      <c r="K111" s="331"/>
      <c r="L111" s="331"/>
      <c r="M111" s="331"/>
      <c r="N111" s="331"/>
      <c r="O111" s="331"/>
      <c r="P111" s="331"/>
      <c r="Q111" s="182"/>
      <c r="R111" s="305">
        <f t="shared" si="27"/>
        <v>0</v>
      </c>
      <c r="S111" s="182"/>
      <c r="T111" s="269"/>
      <c r="U111" s="182"/>
      <c r="V111" s="346"/>
      <c r="W111" s="182"/>
      <c r="X111" s="346"/>
      <c r="Y111" s="182"/>
      <c r="Z111" s="346"/>
      <c r="AA111" s="66"/>
      <c r="AB111" s="66"/>
    </row>
    <row r="112" spans="1:28" ht="30" x14ac:dyDescent="0.25">
      <c r="A112" s="125" t="s">
        <v>420</v>
      </c>
      <c r="B112" s="142">
        <v>12613</v>
      </c>
      <c r="C112" s="143" t="s">
        <v>509</v>
      </c>
      <c r="D112" s="125" t="s">
        <v>229</v>
      </c>
      <c r="E112" s="216">
        <f t="shared" si="18"/>
        <v>0</v>
      </c>
      <c r="F112" s="348">
        <f t="shared" si="26"/>
        <v>12.56</v>
      </c>
      <c r="G112" s="344">
        <f t="shared" si="22"/>
        <v>0</v>
      </c>
      <c r="H112" s="222" t="s">
        <v>175</v>
      </c>
      <c r="I112" s="325"/>
      <c r="J112" s="325">
        <v>12.56</v>
      </c>
      <c r="K112" s="325"/>
      <c r="L112" s="325"/>
      <c r="M112" s="325"/>
      <c r="N112" s="325"/>
      <c r="O112" s="325"/>
      <c r="P112" s="325"/>
      <c r="Q112" s="125"/>
      <c r="R112" s="303">
        <f t="shared" si="27"/>
        <v>0</v>
      </c>
      <c r="S112" s="125"/>
      <c r="T112" s="277"/>
      <c r="U112" s="125"/>
      <c r="V112" s="277"/>
      <c r="W112" s="125"/>
      <c r="X112" s="277"/>
      <c r="Y112" s="125"/>
      <c r="Z112" s="277"/>
      <c r="AA112" s="66"/>
      <c r="AB112" s="66"/>
    </row>
    <row r="113" spans="1:28" ht="30" x14ac:dyDescent="0.25">
      <c r="A113" s="125" t="s">
        <v>421</v>
      </c>
      <c r="B113" s="142">
        <v>1031</v>
      </c>
      <c r="C113" s="143" t="s">
        <v>510</v>
      </c>
      <c r="D113" s="142" t="s">
        <v>229</v>
      </c>
      <c r="E113" s="216">
        <f t="shared" si="18"/>
        <v>0</v>
      </c>
      <c r="F113" s="348">
        <f t="shared" si="26"/>
        <v>8.18</v>
      </c>
      <c r="G113" s="344">
        <f t="shared" si="22"/>
        <v>0</v>
      </c>
      <c r="H113" s="222" t="s">
        <v>175</v>
      </c>
      <c r="I113" s="325"/>
      <c r="J113" s="325">
        <v>8.18</v>
      </c>
      <c r="K113" s="325"/>
      <c r="L113" s="325"/>
      <c r="M113" s="325"/>
      <c r="N113" s="325"/>
      <c r="O113" s="325"/>
      <c r="P113" s="325"/>
      <c r="Q113" s="125"/>
      <c r="R113" s="303">
        <f t="shared" si="27"/>
        <v>0</v>
      </c>
      <c r="S113" s="125"/>
      <c r="T113" s="277"/>
      <c r="U113" s="125"/>
      <c r="V113" s="277"/>
      <c r="W113" s="125"/>
      <c r="X113" s="277"/>
      <c r="Y113" s="125"/>
      <c r="Z113" s="277"/>
      <c r="AA113" s="66"/>
      <c r="AB113" s="66"/>
    </row>
    <row r="114" spans="1:28" ht="45" x14ac:dyDescent="0.25">
      <c r="A114" s="125" t="s">
        <v>423</v>
      </c>
      <c r="B114" s="142">
        <v>39707</v>
      </c>
      <c r="C114" s="143" t="s">
        <v>511</v>
      </c>
      <c r="D114" s="142" t="s">
        <v>237</v>
      </c>
      <c r="E114" s="216">
        <f t="shared" si="18"/>
        <v>0</v>
      </c>
      <c r="F114" s="351">
        <f t="shared" si="26"/>
        <v>3.3</v>
      </c>
      <c r="G114" s="344">
        <f t="shared" si="22"/>
        <v>0</v>
      </c>
      <c r="H114" s="383" t="s">
        <v>175</v>
      </c>
      <c r="I114" s="385"/>
      <c r="J114" s="385">
        <v>3.3</v>
      </c>
      <c r="K114" s="385"/>
      <c r="L114" s="385"/>
      <c r="M114" s="385"/>
      <c r="N114" s="385"/>
      <c r="O114" s="385"/>
      <c r="P114" s="385"/>
      <c r="Q114" s="381"/>
      <c r="R114" s="307">
        <f t="shared" si="27"/>
        <v>0</v>
      </c>
      <c r="S114" s="381"/>
      <c r="T114" s="269"/>
      <c r="U114" s="381"/>
      <c r="V114" s="377"/>
      <c r="W114" s="381"/>
      <c r="X114" s="377"/>
      <c r="Y114" s="381"/>
      <c r="Z114" s="377"/>
      <c r="AA114" s="66"/>
      <c r="AB114" s="66"/>
    </row>
    <row r="115" spans="1:28" ht="45" x14ac:dyDescent="0.25">
      <c r="A115" s="125" t="s">
        <v>424</v>
      </c>
      <c r="B115" s="142">
        <v>39708</v>
      </c>
      <c r="C115" s="143" t="s">
        <v>512</v>
      </c>
      <c r="D115" s="142" t="s">
        <v>237</v>
      </c>
      <c r="E115" s="216">
        <f t="shared" si="18"/>
        <v>0</v>
      </c>
      <c r="F115" s="348">
        <f t="shared" si="26"/>
        <v>3.2</v>
      </c>
      <c r="G115" s="344">
        <f t="shared" si="22"/>
        <v>0</v>
      </c>
      <c r="H115" s="222" t="s">
        <v>175</v>
      </c>
      <c r="I115" s="325"/>
      <c r="J115" s="325">
        <v>3.2</v>
      </c>
      <c r="K115" s="325"/>
      <c r="L115" s="325"/>
      <c r="M115" s="325"/>
      <c r="N115" s="325"/>
      <c r="O115" s="325"/>
      <c r="P115" s="325"/>
      <c r="Q115" s="125"/>
      <c r="R115" s="303">
        <f t="shared" si="27"/>
        <v>0</v>
      </c>
      <c r="S115" s="125"/>
      <c r="T115" s="277"/>
      <c r="U115" s="125"/>
      <c r="V115" s="277"/>
      <c r="W115" s="125"/>
      <c r="X115" s="277"/>
      <c r="Y115" s="125"/>
      <c r="Z115" s="277"/>
      <c r="AA115" s="66"/>
      <c r="AB115" s="66"/>
    </row>
    <row r="116" spans="1:28" ht="45" x14ac:dyDescent="0.25">
      <c r="A116" s="125" t="s">
        <v>425</v>
      </c>
      <c r="B116" s="142">
        <v>39710</v>
      </c>
      <c r="C116" s="143" t="s">
        <v>513</v>
      </c>
      <c r="D116" s="142" t="s">
        <v>237</v>
      </c>
      <c r="E116" s="216">
        <f t="shared" si="18"/>
        <v>0</v>
      </c>
      <c r="F116" s="348">
        <f t="shared" si="26"/>
        <v>2.25</v>
      </c>
      <c r="G116" s="344">
        <f t="shared" si="22"/>
        <v>0</v>
      </c>
      <c r="H116" s="222" t="s">
        <v>175</v>
      </c>
      <c r="I116" s="325"/>
      <c r="J116" s="325">
        <v>2.25</v>
      </c>
      <c r="K116" s="325"/>
      <c r="L116" s="325"/>
      <c r="M116" s="325"/>
      <c r="N116" s="325"/>
      <c r="O116" s="325"/>
      <c r="P116" s="325"/>
      <c r="Q116" s="125"/>
      <c r="R116" s="303">
        <f t="shared" si="27"/>
        <v>0</v>
      </c>
      <c r="S116" s="125"/>
      <c r="T116" s="277"/>
      <c r="U116" s="125"/>
      <c r="V116" s="277"/>
      <c r="W116" s="125"/>
      <c r="X116" s="277"/>
      <c r="Y116" s="125"/>
      <c r="Z116" s="277"/>
      <c r="AA116" s="66"/>
      <c r="AB116" s="66"/>
    </row>
    <row r="117" spans="1:28" ht="30" x14ac:dyDescent="0.25">
      <c r="A117" s="125" t="s">
        <v>426</v>
      </c>
      <c r="B117" s="142">
        <v>9876</v>
      </c>
      <c r="C117" s="143" t="s">
        <v>514</v>
      </c>
      <c r="D117" s="142" t="s">
        <v>237</v>
      </c>
      <c r="E117" s="216">
        <f t="shared" si="18"/>
        <v>0</v>
      </c>
      <c r="F117" s="348">
        <f t="shared" si="26"/>
        <v>12.75</v>
      </c>
      <c r="G117" s="344">
        <f t="shared" si="22"/>
        <v>0</v>
      </c>
      <c r="H117" s="222" t="s">
        <v>175</v>
      </c>
      <c r="I117" s="325"/>
      <c r="J117" s="325">
        <v>12.75</v>
      </c>
      <c r="K117" s="325"/>
      <c r="L117" s="325"/>
      <c r="M117" s="325"/>
      <c r="N117" s="325"/>
      <c r="O117" s="325"/>
      <c r="P117" s="325"/>
      <c r="Q117" s="125"/>
      <c r="R117" s="303">
        <f t="shared" si="27"/>
        <v>0</v>
      </c>
      <c r="S117" s="125"/>
      <c r="T117" s="277"/>
      <c r="U117" s="125"/>
      <c r="V117" s="277"/>
      <c r="W117" s="125"/>
      <c r="X117" s="277"/>
      <c r="Y117" s="125"/>
      <c r="Z117" s="277"/>
      <c r="AA117" s="66"/>
      <c r="AB117" s="66"/>
    </row>
    <row r="118" spans="1:28" ht="30" x14ac:dyDescent="0.25">
      <c r="A118" s="125" t="s">
        <v>427</v>
      </c>
      <c r="B118" s="142">
        <v>9877</v>
      </c>
      <c r="C118" s="143" t="s">
        <v>515</v>
      </c>
      <c r="D118" s="142" t="s">
        <v>237</v>
      </c>
      <c r="E118" s="216">
        <f t="shared" si="18"/>
        <v>0</v>
      </c>
      <c r="F118" s="348">
        <f t="shared" si="26"/>
        <v>44.69</v>
      </c>
      <c r="G118" s="344">
        <f t="shared" si="22"/>
        <v>0</v>
      </c>
      <c r="H118" s="222" t="s">
        <v>175</v>
      </c>
      <c r="I118" s="325"/>
      <c r="J118" s="325">
        <v>44.69</v>
      </c>
      <c r="K118" s="325"/>
      <c r="L118" s="325"/>
      <c r="M118" s="325"/>
      <c r="N118" s="325"/>
      <c r="O118" s="325"/>
      <c r="P118" s="325"/>
      <c r="Q118" s="125"/>
      <c r="R118" s="303">
        <f t="shared" si="27"/>
        <v>0</v>
      </c>
      <c r="S118" s="125"/>
      <c r="T118" s="277"/>
      <c r="U118" s="125"/>
      <c r="V118" s="277"/>
      <c r="W118" s="125"/>
      <c r="X118" s="277"/>
      <c r="Y118" s="125"/>
      <c r="Z118" s="277"/>
      <c r="AA118" s="66"/>
      <c r="AB118" s="66"/>
    </row>
    <row r="119" spans="1:28" ht="60" x14ac:dyDescent="0.25">
      <c r="A119" s="125" t="s">
        <v>428</v>
      </c>
      <c r="B119" s="142">
        <v>38052</v>
      </c>
      <c r="C119" s="143" t="s">
        <v>516</v>
      </c>
      <c r="D119" s="142" t="s">
        <v>237</v>
      </c>
      <c r="E119" s="216">
        <f t="shared" si="18"/>
        <v>0</v>
      </c>
      <c r="F119" s="348">
        <f t="shared" si="26"/>
        <v>4.1100000000000003</v>
      </c>
      <c r="G119" s="344">
        <f t="shared" si="22"/>
        <v>0</v>
      </c>
      <c r="H119" s="222" t="s">
        <v>175</v>
      </c>
      <c r="I119" s="325"/>
      <c r="J119" s="325">
        <v>4.1100000000000003</v>
      </c>
      <c r="K119" s="325"/>
      <c r="L119" s="325"/>
      <c r="M119" s="325"/>
      <c r="N119" s="325"/>
      <c r="O119" s="325"/>
      <c r="P119" s="325"/>
      <c r="Q119" s="125"/>
      <c r="R119" s="303">
        <f t="shared" si="27"/>
        <v>0</v>
      </c>
      <c r="S119" s="125"/>
      <c r="T119" s="277"/>
      <c r="U119" s="125"/>
      <c r="V119" s="277"/>
      <c r="W119" s="125"/>
      <c r="X119" s="277"/>
      <c r="Y119" s="125"/>
      <c r="Z119" s="277"/>
      <c r="AA119" s="66"/>
      <c r="AB119" s="66"/>
    </row>
    <row r="120" spans="1:28" ht="30" x14ac:dyDescent="0.25">
      <c r="A120" s="125" t="s">
        <v>429</v>
      </c>
      <c r="B120" s="142">
        <v>38979</v>
      </c>
      <c r="C120" s="143" t="s">
        <v>517</v>
      </c>
      <c r="D120" s="142" t="s">
        <v>237</v>
      </c>
      <c r="E120" s="216">
        <f t="shared" si="18"/>
        <v>0</v>
      </c>
      <c r="F120" s="348">
        <f t="shared" si="26"/>
        <v>6.25</v>
      </c>
      <c r="G120" s="344">
        <f t="shared" si="22"/>
        <v>0</v>
      </c>
      <c r="H120" s="222" t="s">
        <v>175</v>
      </c>
      <c r="I120" s="325"/>
      <c r="J120" s="325">
        <v>6.25</v>
      </c>
      <c r="K120" s="325"/>
      <c r="L120" s="325"/>
      <c r="M120" s="325"/>
      <c r="N120" s="325"/>
      <c r="O120" s="325"/>
      <c r="P120" s="325"/>
      <c r="Q120" s="125"/>
      <c r="R120" s="303">
        <f t="shared" si="27"/>
        <v>0</v>
      </c>
      <c r="S120" s="125"/>
      <c r="T120" s="277"/>
      <c r="U120" s="125"/>
      <c r="V120" s="277"/>
      <c r="W120" s="125"/>
      <c r="X120" s="277"/>
      <c r="Y120" s="125"/>
      <c r="Z120" s="277"/>
      <c r="AA120" s="66"/>
      <c r="AB120" s="66"/>
    </row>
    <row r="121" spans="1:28" ht="30" x14ac:dyDescent="0.25">
      <c r="A121" s="125" t="s">
        <v>430</v>
      </c>
      <c r="B121" s="142">
        <v>38980</v>
      </c>
      <c r="C121" s="143" t="s">
        <v>518</v>
      </c>
      <c r="D121" s="142" t="s">
        <v>237</v>
      </c>
      <c r="E121" s="216">
        <f t="shared" si="18"/>
        <v>0</v>
      </c>
      <c r="F121" s="348">
        <f t="shared" si="26"/>
        <v>10.45</v>
      </c>
      <c r="G121" s="344">
        <f t="shared" si="22"/>
        <v>0</v>
      </c>
      <c r="H121" s="222" t="s">
        <v>175</v>
      </c>
      <c r="I121" s="325"/>
      <c r="J121" s="325">
        <v>10.45</v>
      </c>
      <c r="K121" s="325"/>
      <c r="L121" s="325"/>
      <c r="M121" s="325"/>
      <c r="N121" s="325"/>
      <c r="O121" s="325"/>
      <c r="P121" s="325"/>
      <c r="Q121" s="125"/>
      <c r="R121" s="303">
        <f t="shared" si="27"/>
        <v>0</v>
      </c>
      <c r="S121" s="125"/>
      <c r="T121" s="277"/>
      <c r="U121" s="125"/>
      <c r="V121" s="277"/>
      <c r="W121" s="125"/>
      <c r="X121" s="277"/>
      <c r="Y121" s="125"/>
      <c r="Z121" s="277"/>
      <c r="AA121" s="66"/>
      <c r="AB121" s="66"/>
    </row>
    <row r="122" spans="1:28" ht="30" x14ac:dyDescent="0.25">
      <c r="A122" s="125" t="s">
        <v>431</v>
      </c>
      <c r="B122" s="142">
        <v>38981</v>
      </c>
      <c r="C122" s="143" t="s">
        <v>519</v>
      </c>
      <c r="D122" s="142" t="s">
        <v>237</v>
      </c>
      <c r="E122" s="216">
        <f t="shared" si="18"/>
        <v>0</v>
      </c>
      <c r="F122" s="349">
        <f t="shared" si="26"/>
        <v>14.47</v>
      </c>
      <c r="G122" s="344">
        <f t="shared" si="22"/>
        <v>0</v>
      </c>
      <c r="H122" s="8" t="s">
        <v>175</v>
      </c>
      <c r="I122" s="332"/>
      <c r="J122" s="332">
        <v>14.47</v>
      </c>
      <c r="K122" s="332"/>
      <c r="L122" s="332"/>
      <c r="M122" s="332"/>
      <c r="N122" s="332"/>
      <c r="O122" s="332"/>
      <c r="P122" s="332"/>
      <c r="Q122" s="381"/>
      <c r="R122" s="306">
        <f t="shared" si="27"/>
        <v>0</v>
      </c>
      <c r="S122" s="381"/>
      <c r="T122" s="269"/>
      <c r="U122" s="381"/>
      <c r="V122" s="377"/>
      <c r="W122" s="381"/>
      <c r="X122" s="377"/>
      <c r="Y122" s="381"/>
      <c r="Z122" s="377"/>
      <c r="AA122" s="66"/>
      <c r="AB122" s="66"/>
    </row>
    <row r="123" spans="1:28" ht="30" x14ac:dyDescent="0.25">
      <c r="A123" s="125" t="s">
        <v>433</v>
      </c>
      <c r="B123" s="142">
        <v>38982</v>
      </c>
      <c r="C123" s="143" t="s">
        <v>520</v>
      </c>
      <c r="D123" s="142" t="s">
        <v>237</v>
      </c>
      <c r="E123" s="216">
        <f t="shared" si="18"/>
        <v>0</v>
      </c>
      <c r="F123" s="348">
        <f t="shared" si="26"/>
        <v>21.06</v>
      </c>
      <c r="G123" s="344">
        <f t="shared" si="22"/>
        <v>0</v>
      </c>
      <c r="H123" s="8" t="s">
        <v>175</v>
      </c>
      <c r="I123" s="332"/>
      <c r="J123" s="332">
        <v>21.06</v>
      </c>
      <c r="K123" s="332"/>
      <c r="L123" s="332"/>
      <c r="M123" s="332"/>
      <c r="N123" s="332"/>
      <c r="O123" s="332"/>
      <c r="P123" s="332"/>
      <c r="Q123" s="381"/>
      <c r="R123" s="303">
        <f t="shared" si="27"/>
        <v>0</v>
      </c>
      <c r="S123" s="381"/>
      <c r="T123" s="269"/>
      <c r="U123" s="381"/>
      <c r="V123" s="377"/>
      <c r="W123" s="381"/>
      <c r="X123" s="377"/>
      <c r="Y123" s="381"/>
      <c r="Z123" s="377"/>
      <c r="AA123" s="66"/>
      <c r="AB123" s="66"/>
    </row>
    <row r="124" spans="1:28" ht="30" x14ac:dyDescent="0.25">
      <c r="A124" s="125" t="s">
        <v>434</v>
      </c>
      <c r="B124" s="142">
        <v>9835</v>
      </c>
      <c r="C124" s="143" t="s">
        <v>521</v>
      </c>
      <c r="D124" s="142" t="s">
        <v>237</v>
      </c>
      <c r="E124" s="216">
        <f t="shared" si="18"/>
        <v>0</v>
      </c>
      <c r="F124" s="348">
        <f t="shared" si="26"/>
        <v>3</v>
      </c>
      <c r="G124" s="344">
        <f t="shared" si="22"/>
        <v>0</v>
      </c>
      <c r="H124" s="8" t="s">
        <v>175</v>
      </c>
      <c r="I124" s="332"/>
      <c r="J124" s="332">
        <v>3</v>
      </c>
      <c r="K124" s="332"/>
      <c r="L124" s="332"/>
      <c r="M124" s="332"/>
      <c r="N124" s="332"/>
      <c r="O124" s="332"/>
      <c r="P124" s="332"/>
      <c r="Q124" s="381"/>
      <c r="R124" s="303">
        <f t="shared" si="27"/>
        <v>0</v>
      </c>
      <c r="S124" s="381"/>
      <c r="T124" s="269"/>
      <c r="U124" s="381"/>
      <c r="V124" s="377"/>
      <c r="W124" s="381"/>
      <c r="X124" s="377"/>
      <c r="Y124" s="381"/>
      <c r="Z124" s="377"/>
      <c r="AA124" s="66"/>
      <c r="AB124" s="66"/>
    </row>
    <row r="125" spans="1:28" ht="30" x14ac:dyDescent="0.25">
      <c r="A125" s="125" t="s">
        <v>436</v>
      </c>
      <c r="B125" s="142">
        <v>38032</v>
      </c>
      <c r="C125" s="143" t="s">
        <v>522</v>
      </c>
      <c r="D125" s="142" t="s">
        <v>237</v>
      </c>
      <c r="E125" s="216">
        <f t="shared" si="18"/>
        <v>0</v>
      </c>
      <c r="F125" s="348">
        <f t="shared" si="26"/>
        <v>31.58</v>
      </c>
      <c r="G125" s="344">
        <f t="shared" si="22"/>
        <v>0</v>
      </c>
      <c r="H125" s="8" t="s">
        <v>175</v>
      </c>
      <c r="I125" s="332"/>
      <c r="J125" s="332">
        <v>31.58</v>
      </c>
      <c r="K125" s="332"/>
      <c r="L125" s="332"/>
      <c r="M125" s="332"/>
      <c r="N125" s="332"/>
      <c r="O125" s="332"/>
      <c r="P125" s="332"/>
      <c r="Q125" s="381"/>
      <c r="R125" s="303">
        <f t="shared" si="27"/>
        <v>0</v>
      </c>
      <c r="S125" s="381"/>
      <c r="T125" s="269"/>
      <c r="U125" s="381"/>
      <c r="V125" s="377"/>
      <c r="W125" s="381"/>
      <c r="X125" s="377"/>
      <c r="Y125" s="381"/>
      <c r="Z125" s="377"/>
      <c r="AA125" s="66"/>
      <c r="AB125" s="66"/>
    </row>
    <row r="126" spans="1:28" ht="30" x14ac:dyDescent="0.25">
      <c r="A126" s="125" t="s">
        <v>437</v>
      </c>
      <c r="B126" s="142">
        <v>38033</v>
      </c>
      <c r="C126" s="143" t="s">
        <v>523</v>
      </c>
      <c r="D126" s="142" t="s">
        <v>237</v>
      </c>
      <c r="E126" s="216">
        <f t="shared" si="18"/>
        <v>0</v>
      </c>
      <c r="F126" s="348">
        <f t="shared" si="26"/>
        <v>51.68</v>
      </c>
      <c r="G126" s="344">
        <f t="shared" si="22"/>
        <v>0</v>
      </c>
      <c r="H126" s="8" t="s">
        <v>175</v>
      </c>
      <c r="I126" s="332"/>
      <c r="J126" s="332">
        <v>51.68</v>
      </c>
      <c r="K126" s="332"/>
      <c r="L126" s="332"/>
      <c r="M126" s="332"/>
      <c r="N126" s="332"/>
      <c r="O126" s="332"/>
      <c r="P126" s="332"/>
      <c r="Q126" s="388"/>
      <c r="R126" s="303">
        <f t="shared" si="27"/>
        <v>0</v>
      </c>
      <c r="S126" s="372"/>
      <c r="T126" s="293">
        <f t="shared" ref="T126:T141" si="28">$F126*S126</f>
        <v>0</v>
      </c>
      <c r="U126" s="142"/>
      <c r="V126" s="377"/>
      <c r="W126" s="142"/>
      <c r="X126" s="377"/>
      <c r="Y126" s="142"/>
      <c r="Z126" s="377"/>
      <c r="AA126" s="66"/>
      <c r="AB126" s="66"/>
    </row>
    <row r="127" spans="1:28" ht="30" x14ac:dyDescent="0.25">
      <c r="A127" s="125" t="s">
        <v>439</v>
      </c>
      <c r="B127" s="142">
        <v>38034</v>
      </c>
      <c r="C127" s="143" t="s">
        <v>524</v>
      </c>
      <c r="D127" s="142" t="s">
        <v>237</v>
      </c>
      <c r="E127" s="216">
        <f t="shared" si="18"/>
        <v>500</v>
      </c>
      <c r="F127" s="348">
        <f t="shared" si="26"/>
        <v>85.49</v>
      </c>
      <c r="G127" s="344">
        <f t="shared" si="22"/>
        <v>42745</v>
      </c>
      <c r="H127" s="8" t="s">
        <v>175</v>
      </c>
      <c r="I127" s="332"/>
      <c r="J127" s="332">
        <v>85.49</v>
      </c>
      <c r="K127" s="332"/>
      <c r="L127" s="332"/>
      <c r="M127" s="332"/>
      <c r="N127" s="332"/>
      <c r="O127" s="332"/>
      <c r="P127" s="332"/>
      <c r="Q127" s="388">
        <v>50</v>
      </c>
      <c r="R127" s="303">
        <f t="shared" si="27"/>
        <v>4274.5</v>
      </c>
      <c r="S127" s="142">
        <v>50</v>
      </c>
      <c r="T127" s="293">
        <f t="shared" si="28"/>
        <v>4274.5</v>
      </c>
      <c r="U127" s="142">
        <v>100</v>
      </c>
      <c r="V127" s="291">
        <f t="shared" ref="V127:V141" si="29">$F127*U127</f>
        <v>8549</v>
      </c>
      <c r="W127" s="142">
        <v>200</v>
      </c>
      <c r="X127" s="283">
        <f t="shared" ref="X127:X141" si="30">$F127*W127</f>
        <v>17098</v>
      </c>
      <c r="Y127" s="142">
        <v>100</v>
      </c>
      <c r="Z127" s="273">
        <f t="shared" ref="Z127:Z141" si="31">$F127*Y127</f>
        <v>8549</v>
      </c>
      <c r="AA127" s="66"/>
      <c r="AB127" s="66"/>
    </row>
    <row r="128" spans="1:28" x14ac:dyDescent="0.25">
      <c r="A128" s="125" t="s">
        <v>440</v>
      </c>
      <c r="B128" s="142">
        <v>9860</v>
      </c>
      <c r="C128" s="143" t="s">
        <v>525</v>
      </c>
      <c r="D128" s="142" t="s">
        <v>237</v>
      </c>
      <c r="E128" s="216">
        <f t="shared" ref="E128:E141" si="32">Q128+S128+U128+W128+Y128</f>
        <v>150</v>
      </c>
      <c r="F128" s="350">
        <f t="shared" si="26"/>
        <v>30.35</v>
      </c>
      <c r="G128" s="344">
        <f t="shared" si="22"/>
        <v>4552.5</v>
      </c>
      <c r="H128" s="8" t="s">
        <v>175</v>
      </c>
      <c r="I128" s="332"/>
      <c r="J128" s="332">
        <v>30.35</v>
      </c>
      <c r="K128" s="332"/>
      <c r="L128" s="332"/>
      <c r="M128" s="332"/>
      <c r="N128" s="332"/>
      <c r="O128" s="332"/>
      <c r="P128" s="332"/>
      <c r="Q128" s="388">
        <v>30</v>
      </c>
      <c r="R128" s="303">
        <f t="shared" si="27"/>
        <v>910.5</v>
      </c>
      <c r="S128" s="142">
        <v>30</v>
      </c>
      <c r="T128" s="293">
        <f t="shared" si="28"/>
        <v>910.5</v>
      </c>
      <c r="U128" s="142">
        <v>60</v>
      </c>
      <c r="V128" s="291">
        <f t="shared" si="29"/>
        <v>1821</v>
      </c>
      <c r="W128" s="142"/>
      <c r="X128" s="283">
        <f t="shared" si="30"/>
        <v>0</v>
      </c>
      <c r="Y128" s="142">
        <v>30</v>
      </c>
      <c r="Z128" s="273">
        <f t="shared" si="31"/>
        <v>910.5</v>
      </c>
      <c r="AA128" s="66"/>
      <c r="AB128" s="66"/>
    </row>
    <row r="129" spans="1:28" x14ac:dyDescent="0.25">
      <c r="A129" s="125" t="s">
        <v>442</v>
      </c>
      <c r="B129" s="142">
        <v>9866</v>
      </c>
      <c r="C129" s="127" t="s">
        <v>526</v>
      </c>
      <c r="D129" s="125" t="s">
        <v>237</v>
      </c>
      <c r="E129" s="69">
        <f t="shared" si="32"/>
        <v>48</v>
      </c>
      <c r="F129" s="348">
        <f t="shared" si="26"/>
        <v>12.71</v>
      </c>
      <c r="G129" s="344">
        <f t="shared" si="22"/>
        <v>610.08000000000004</v>
      </c>
      <c r="H129" s="222" t="s">
        <v>175</v>
      </c>
      <c r="I129" s="325"/>
      <c r="J129" s="325">
        <v>12.71</v>
      </c>
      <c r="K129" s="325"/>
      <c r="L129" s="325"/>
      <c r="M129" s="325"/>
      <c r="N129" s="325"/>
      <c r="O129" s="325"/>
      <c r="P129" s="325"/>
      <c r="Q129" s="125">
        <v>12</v>
      </c>
      <c r="R129" s="303">
        <f t="shared" si="27"/>
        <v>152.52000000000001</v>
      </c>
      <c r="S129" s="125">
        <v>12</v>
      </c>
      <c r="T129" s="293">
        <f t="shared" si="28"/>
        <v>152.52000000000001</v>
      </c>
      <c r="U129" s="125">
        <v>12</v>
      </c>
      <c r="V129" s="290">
        <f t="shared" si="29"/>
        <v>152.52000000000001</v>
      </c>
      <c r="W129" s="125"/>
      <c r="X129" s="282">
        <f t="shared" si="30"/>
        <v>0</v>
      </c>
      <c r="Y129" s="125">
        <v>12</v>
      </c>
      <c r="Z129" s="272">
        <f t="shared" si="31"/>
        <v>152.52000000000001</v>
      </c>
      <c r="AA129" s="66"/>
      <c r="AB129" s="66"/>
    </row>
    <row r="130" spans="1:28" x14ac:dyDescent="0.25">
      <c r="A130" s="125" t="s">
        <v>443</v>
      </c>
      <c r="B130" s="142">
        <v>9857</v>
      </c>
      <c r="C130" s="127" t="s">
        <v>527</v>
      </c>
      <c r="D130" s="125" t="s">
        <v>237</v>
      </c>
      <c r="E130" s="69">
        <f t="shared" si="32"/>
        <v>0</v>
      </c>
      <c r="F130" s="348">
        <f t="shared" si="26"/>
        <v>61.14</v>
      </c>
      <c r="G130" s="344">
        <f t="shared" si="22"/>
        <v>0</v>
      </c>
      <c r="H130" s="222" t="s">
        <v>175</v>
      </c>
      <c r="I130" s="325"/>
      <c r="J130" s="325">
        <v>61.14</v>
      </c>
      <c r="K130" s="325"/>
      <c r="L130" s="325"/>
      <c r="M130" s="325"/>
      <c r="N130" s="325"/>
      <c r="O130" s="325"/>
      <c r="P130" s="325"/>
      <c r="Q130" s="125"/>
      <c r="R130" s="303">
        <f t="shared" si="27"/>
        <v>0</v>
      </c>
      <c r="S130" s="125"/>
      <c r="T130" s="293">
        <f t="shared" si="28"/>
        <v>0</v>
      </c>
      <c r="U130" s="125"/>
      <c r="V130" s="290">
        <f t="shared" si="29"/>
        <v>0</v>
      </c>
      <c r="W130" s="125"/>
      <c r="X130" s="282">
        <f t="shared" si="30"/>
        <v>0</v>
      </c>
      <c r="Y130" s="125"/>
      <c r="Z130" s="272">
        <f t="shared" si="31"/>
        <v>0</v>
      </c>
      <c r="AA130" s="66"/>
      <c r="AB130" s="66"/>
    </row>
    <row r="131" spans="1:28" x14ac:dyDescent="0.25">
      <c r="A131" s="125" t="s">
        <v>445</v>
      </c>
      <c r="B131" s="142">
        <v>9864</v>
      </c>
      <c r="C131" s="127" t="s">
        <v>528</v>
      </c>
      <c r="D131" s="125" t="s">
        <v>237</v>
      </c>
      <c r="E131" s="69">
        <f t="shared" si="32"/>
        <v>0</v>
      </c>
      <c r="F131" s="348">
        <f t="shared" si="26"/>
        <v>73.81</v>
      </c>
      <c r="G131" s="344">
        <f t="shared" si="22"/>
        <v>0</v>
      </c>
      <c r="H131" s="222" t="s">
        <v>175</v>
      </c>
      <c r="I131" s="325"/>
      <c r="J131" s="325">
        <v>73.81</v>
      </c>
      <c r="K131" s="325"/>
      <c r="L131" s="325"/>
      <c r="M131" s="325"/>
      <c r="N131" s="325"/>
      <c r="O131" s="325"/>
      <c r="P131" s="325"/>
      <c r="Q131" s="125"/>
      <c r="R131" s="303">
        <f t="shared" si="27"/>
        <v>0</v>
      </c>
      <c r="S131" s="125"/>
      <c r="T131" s="293">
        <f t="shared" si="28"/>
        <v>0</v>
      </c>
      <c r="U131" s="125"/>
      <c r="V131" s="290">
        <f t="shared" si="29"/>
        <v>0</v>
      </c>
      <c r="W131" s="125"/>
      <c r="X131" s="282">
        <f t="shared" si="30"/>
        <v>0</v>
      </c>
      <c r="Y131" s="125"/>
      <c r="Z131" s="272">
        <f t="shared" si="31"/>
        <v>0</v>
      </c>
      <c r="AA131" s="66"/>
      <c r="AB131" s="66"/>
    </row>
    <row r="132" spans="1:28" ht="30" x14ac:dyDescent="0.25">
      <c r="A132" s="125" t="s">
        <v>446</v>
      </c>
      <c r="B132" s="142">
        <v>9841</v>
      </c>
      <c r="C132" s="127" t="s">
        <v>529</v>
      </c>
      <c r="D132" s="125" t="s">
        <v>237</v>
      </c>
      <c r="E132" s="69">
        <f t="shared" si="32"/>
        <v>96</v>
      </c>
      <c r="F132" s="348">
        <f t="shared" si="26"/>
        <v>20.53</v>
      </c>
      <c r="G132" s="344">
        <f t="shared" si="22"/>
        <v>1970.88</v>
      </c>
      <c r="H132" s="222" t="s">
        <v>175</v>
      </c>
      <c r="I132" s="325"/>
      <c r="J132" s="325">
        <v>20.53</v>
      </c>
      <c r="K132" s="325"/>
      <c r="L132" s="325"/>
      <c r="M132" s="325"/>
      <c r="N132" s="325"/>
      <c r="O132" s="325"/>
      <c r="P132" s="325"/>
      <c r="Q132" s="125">
        <v>24</v>
      </c>
      <c r="R132" s="303">
        <f t="shared" si="27"/>
        <v>492.72</v>
      </c>
      <c r="S132" s="125">
        <v>24</v>
      </c>
      <c r="T132" s="293">
        <f t="shared" si="28"/>
        <v>492.72</v>
      </c>
      <c r="U132" s="125">
        <v>48</v>
      </c>
      <c r="V132" s="290">
        <f t="shared" si="29"/>
        <v>985.44</v>
      </c>
      <c r="W132" s="125"/>
      <c r="X132" s="282">
        <f t="shared" si="30"/>
        <v>0</v>
      </c>
      <c r="Y132" s="125"/>
      <c r="Z132" s="272">
        <f t="shared" si="31"/>
        <v>0</v>
      </c>
      <c r="AA132" s="66"/>
      <c r="AB132" s="66"/>
    </row>
    <row r="133" spans="1:28" ht="30" x14ac:dyDescent="0.25">
      <c r="A133" s="125" t="s">
        <v>448</v>
      </c>
      <c r="B133" s="142">
        <v>9840</v>
      </c>
      <c r="C133" s="127" t="s">
        <v>530</v>
      </c>
      <c r="D133" s="125" t="s">
        <v>237</v>
      </c>
      <c r="E133" s="69">
        <f t="shared" si="32"/>
        <v>0</v>
      </c>
      <c r="F133" s="348">
        <f t="shared" ref="F133:F141" si="33">IF(H133="SINAPI",J133,AVERAGE(J133:P133))</f>
        <v>41.73</v>
      </c>
      <c r="G133" s="344">
        <f t="shared" si="22"/>
        <v>0</v>
      </c>
      <c r="H133" s="222" t="s">
        <v>175</v>
      </c>
      <c r="I133" s="325"/>
      <c r="J133" s="325">
        <v>41.73</v>
      </c>
      <c r="K133" s="325"/>
      <c r="L133" s="325"/>
      <c r="M133" s="325"/>
      <c r="N133" s="325"/>
      <c r="O133" s="325"/>
      <c r="P133" s="325"/>
      <c r="Q133" s="125"/>
      <c r="R133" s="303">
        <f t="shared" ref="R133:R164" si="34">$F133*Q133</f>
        <v>0</v>
      </c>
      <c r="S133" s="125"/>
      <c r="T133" s="293">
        <f t="shared" si="28"/>
        <v>0</v>
      </c>
      <c r="U133" s="125"/>
      <c r="V133" s="290">
        <f t="shared" si="29"/>
        <v>0</v>
      </c>
      <c r="W133" s="125"/>
      <c r="X133" s="282">
        <f t="shared" si="30"/>
        <v>0</v>
      </c>
      <c r="Y133" s="125"/>
      <c r="Z133" s="272">
        <f t="shared" si="31"/>
        <v>0</v>
      </c>
      <c r="AA133" s="66"/>
      <c r="AB133" s="66"/>
    </row>
    <row r="134" spans="1:28" ht="30" x14ac:dyDescent="0.25">
      <c r="A134" s="125" t="s">
        <v>449</v>
      </c>
      <c r="B134" s="142">
        <v>20068</v>
      </c>
      <c r="C134" s="143" t="s">
        <v>531</v>
      </c>
      <c r="D134" s="142" t="s">
        <v>237</v>
      </c>
      <c r="E134" s="69">
        <f t="shared" si="32"/>
        <v>0</v>
      </c>
      <c r="F134" s="350">
        <f t="shared" si="33"/>
        <v>8.94</v>
      </c>
      <c r="G134" s="344">
        <f t="shared" ref="G134:G141" si="35">R134+T134+V134+X134+Z134</f>
        <v>0</v>
      </c>
      <c r="H134" s="8" t="s">
        <v>175</v>
      </c>
      <c r="I134" s="332"/>
      <c r="J134" s="332">
        <v>8.94</v>
      </c>
      <c r="K134" s="332"/>
      <c r="L134" s="332"/>
      <c r="M134" s="332"/>
      <c r="N134" s="332"/>
      <c r="O134" s="332"/>
      <c r="P134" s="332"/>
      <c r="Q134" s="381"/>
      <c r="R134" s="303">
        <f t="shared" si="34"/>
        <v>0</v>
      </c>
      <c r="S134" s="381"/>
      <c r="T134" s="293">
        <f t="shared" si="28"/>
        <v>0</v>
      </c>
      <c r="U134" s="381"/>
      <c r="V134" s="295">
        <f t="shared" si="29"/>
        <v>0</v>
      </c>
      <c r="W134" s="381"/>
      <c r="X134" s="286">
        <f t="shared" si="30"/>
        <v>0</v>
      </c>
      <c r="Y134" s="381"/>
      <c r="Z134" s="276">
        <f t="shared" si="31"/>
        <v>0</v>
      </c>
      <c r="AA134" s="66"/>
      <c r="AB134" s="66"/>
    </row>
    <row r="135" spans="1:28" ht="30" x14ac:dyDescent="0.25">
      <c r="A135" s="125" t="s">
        <v>451</v>
      </c>
      <c r="B135" s="142">
        <v>9839</v>
      </c>
      <c r="C135" s="127" t="s">
        <v>532</v>
      </c>
      <c r="D135" s="125" t="s">
        <v>237</v>
      </c>
      <c r="E135" s="69">
        <f t="shared" si="32"/>
        <v>0</v>
      </c>
      <c r="F135" s="348">
        <f t="shared" si="33"/>
        <v>11.72</v>
      </c>
      <c r="G135" s="344">
        <f t="shared" si="35"/>
        <v>0</v>
      </c>
      <c r="H135" s="228" t="s">
        <v>175</v>
      </c>
      <c r="I135" s="325"/>
      <c r="J135" s="325">
        <v>11.72</v>
      </c>
      <c r="K135" s="325"/>
      <c r="L135" s="325"/>
      <c r="M135" s="325"/>
      <c r="N135" s="325"/>
      <c r="O135" s="325"/>
      <c r="P135" s="325"/>
      <c r="Q135" s="125"/>
      <c r="R135" s="303">
        <f t="shared" si="34"/>
        <v>0</v>
      </c>
      <c r="S135" s="125"/>
      <c r="T135" s="293">
        <f t="shared" si="28"/>
        <v>0</v>
      </c>
      <c r="U135" s="125"/>
      <c r="V135" s="290">
        <f t="shared" si="29"/>
        <v>0</v>
      </c>
      <c r="W135" s="125"/>
      <c r="X135" s="282">
        <f t="shared" si="30"/>
        <v>0</v>
      </c>
      <c r="Y135" s="125"/>
      <c r="Z135" s="272">
        <f t="shared" si="31"/>
        <v>0</v>
      </c>
      <c r="AA135" s="66"/>
      <c r="AB135" s="66"/>
    </row>
    <row r="136" spans="1:28" x14ac:dyDescent="0.25">
      <c r="A136" s="125" t="s">
        <v>452</v>
      </c>
      <c r="B136" s="142">
        <v>9867</v>
      </c>
      <c r="C136" s="127" t="s">
        <v>533</v>
      </c>
      <c r="D136" s="125" t="s">
        <v>237</v>
      </c>
      <c r="E136" s="69">
        <f t="shared" si="32"/>
        <v>0</v>
      </c>
      <c r="F136" s="348">
        <f t="shared" si="33"/>
        <v>1.89</v>
      </c>
      <c r="G136" s="344">
        <f t="shared" si="35"/>
        <v>0</v>
      </c>
      <c r="H136" s="228" t="s">
        <v>175</v>
      </c>
      <c r="I136" s="325"/>
      <c r="J136" s="325">
        <v>1.89</v>
      </c>
      <c r="K136" s="325"/>
      <c r="L136" s="325"/>
      <c r="M136" s="325"/>
      <c r="N136" s="325"/>
      <c r="O136" s="325"/>
      <c r="P136" s="325"/>
      <c r="Q136" s="125"/>
      <c r="R136" s="303">
        <f t="shared" si="34"/>
        <v>0</v>
      </c>
      <c r="S136" s="125"/>
      <c r="T136" s="293">
        <f t="shared" si="28"/>
        <v>0</v>
      </c>
      <c r="U136" s="125"/>
      <c r="V136" s="290">
        <f t="shared" si="29"/>
        <v>0</v>
      </c>
      <c r="W136" s="125"/>
      <c r="X136" s="282">
        <f t="shared" si="30"/>
        <v>0</v>
      </c>
      <c r="Y136" s="125"/>
      <c r="Z136" s="272">
        <f t="shared" si="31"/>
        <v>0</v>
      </c>
      <c r="AA136" s="66"/>
      <c r="AB136" s="66"/>
    </row>
    <row r="137" spans="1:28" x14ac:dyDescent="0.25">
      <c r="A137" s="125" t="s">
        <v>454</v>
      </c>
      <c r="B137" s="142">
        <v>9868</v>
      </c>
      <c r="C137" s="127" t="s">
        <v>534</v>
      </c>
      <c r="D137" s="182" t="s">
        <v>237</v>
      </c>
      <c r="E137" s="207">
        <f t="shared" si="32"/>
        <v>0</v>
      </c>
      <c r="F137" s="350">
        <f t="shared" si="33"/>
        <v>2.4300000000000002</v>
      </c>
      <c r="G137" s="344">
        <f t="shared" si="35"/>
        <v>0</v>
      </c>
      <c r="H137" s="228" t="s">
        <v>175</v>
      </c>
      <c r="I137" s="331"/>
      <c r="J137" s="331">
        <v>2.4300000000000002</v>
      </c>
      <c r="K137" s="331"/>
      <c r="L137" s="331"/>
      <c r="M137" s="331"/>
      <c r="N137" s="331"/>
      <c r="O137" s="331"/>
      <c r="P137" s="331"/>
      <c r="Q137" s="182"/>
      <c r="R137" s="305">
        <f t="shared" si="34"/>
        <v>0</v>
      </c>
      <c r="S137" s="182"/>
      <c r="T137" s="293">
        <f t="shared" si="28"/>
        <v>0</v>
      </c>
      <c r="U137" s="182"/>
      <c r="V137" s="294">
        <f t="shared" si="29"/>
        <v>0</v>
      </c>
      <c r="W137" s="182"/>
      <c r="X137" s="285">
        <f t="shared" si="30"/>
        <v>0</v>
      </c>
      <c r="Y137" s="182"/>
      <c r="Z137" s="275">
        <f t="shared" si="31"/>
        <v>0</v>
      </c>
      <c r="AA137" s="66"/>
      <c r="AB137" s="66"/>
    </row>
    <row r="138" spans="1:28" x14ac:dyDescent="0.25">
      <c r="A138" s="125" t="s">
        <v>455</v>
      </c>
      <c r="B138" s="142">
        <v>9869</v>
      </c>
      <c r="C138" s="143" t="s">
        <v>535</v>
      </c>
      <c r="D138" s="125" t="s">
        <v>237</v>
      </c>
      <c r="E138" s="69">
        <f t="shared" si="32"/>
        <v>0</v>
      </c>
      <c r="F138" s="348">
        <f t="shared" si="33"/>
        <v>5.45</v>
      </c>
      <c r="G138" s="344">
        <f t="shared" si="35"/>
        <v>0</v>
      </c>
      <c r="H138" s="222" t="s">
        <v>175</v>
      </c>
      <c r="I138" s="325"/>
      <c r="J138" s="325">
        <v>5.45</v>
      </c>
      <c r="K138" s="325"/>
      <c r="L138" s="325"/>
      <c r="M138" s="325"/>
      <c r="N138" s="325"/>
      <c r="O138" s="325"/>
      <c r="P138" s="325"/>
      <c r="Q138" s="125"/>
      <c r="R138" s="303">
        <f t="shared" si="34"/>
        <v>0</v>
      </c>
      <c r="S138" s="125"/>
      <c r="T138" s="299">
        <f t="shared" si="28"/>
        <v>0</v>
      </c>
      <c r="U138" s="125"/>
      <c r="V138" s="290">
        <f t="shared" si="29"/>
        <v>0</v>
      </c>
      <c r="W138" s="125"/>
      <c r="X138" s="282">
        <f t="shared" si="30"/>
        <v>0</v>
      </c>
      <c r="Y138" s="125"/>
      <c r="Z138" s="272">
        <f t="shared" si="31"/>
        <v>0</v>
      </c>
      <c r="AA138" s="66"/>
      <c r="AB138" s="66"/>
    </row>
    <row r="139" spans="1:28" x14ac:dyDescent="0.25">
      <c r="A139" s="125" t="s">
        <v>456</v>
      </c>
      <c r="B139" s="142">
        <v>9874</v>
      </c>
      <c r="C139" s="143" t="s">
        <v>536</v>
      </c>
      <c r="D139" s="125" t="s">
        <v>237</v>
      </c>
      <c r="E139" s="69">
        <f t="shared" si="32"/>
        <v>0</v>
      </c>
      <c r="F139" s="348">
        <f t="shared" si="33"/>
        <v>7.94</v>
      </c>
      <c r="G139" s="344">
        <f t="shared" si="35"/>
        <v>0</v>
      </c>
      <c r="H139" s="222" t="s">
        <v>175</v>
      </c>
      <c r="I139" s="325"/>
      <c r="J139" s="325">
        <v>7.94</v>
      </c>
      <c r="K139" s="325"/>
      <c r="L139" s="325"/>
      <c r="M139" s="325"/>
      <c r="N139" s="325"/>
      <c r="O139" s="325"/>
      <c r="P139" s="325"/>
      <c r="Q139" s="125"/>
      <c r="R139" s="303">
        <f t="shared" si="34"/>
        <v>0</v>
      </c>
      <c r="S139" s="125"/>
      <c r="T139" s="299">
        <f t="shared" si="28"/>
        <v>0</v>
      </c>
      <c r="U139" s="125"/>
      <c r="V139" s="290">
        <f t="shared" si="29"/>
        <v>0</v>
      </c>
      <c r="W139" s="125"/>
      <c r="X139" s="282">
        <f t="shared" si="30"/>
        <v>0</v>
      </c>
      <c r="Y139" s="125"/>
      <c r="Z139" s="272">
        <f t="shared" si="31"/>
        <v>0</v>
      </c>
      <c r="AA139" s="66"/>
      <c r="AB139" s="66"/>
    </row>
    <row r="140" spans="1:28" ht="30" x14ac:dyDescent="0.25">
      <c r="A140" s="125" t="s">
        <v>457</v>
      </c>
      <c r="B140" s="142">
        <v>9875</v>
      </c>
      <c r="C140" s="143" t="s">
        <v>537</v>
      </c>
      <c r="D140" s="125" t="s">
        <v>237</v>
      </c>
      <c r="E140" s="69">
        <f t="shared" si="32"/>
        <v>0</v>
      </c>
      <c r="F140" s="348">
        <f t="shared" si="33"/>
        <v>9.1</v>
      </c>
      <c r="G140" s="344">
        <f t="shared" si="35"/>
        <v>0</v>
      </c>
      <c r="H140" s="222" t="s">
        <v>175</v>
      </c>
      <c r="I140" s="325"/>
      <c r="J140" s="325">
        <v>9.1</v>
      </c>
      <c r="K140" s="325"/>
      <c r="L140" s="325"/>
      <c r="M140" s="325"/>
      <c r="N140" s="325"/>
      <c r="O140" s="325"/>
      <c r="P140" s="325"/>
      <c r="Q140" s="125"/>
      <c r="R140" s="303">
        <f t="shared" si="34"/>
        <v>0</v>
      </c>
      <c r="S140" s="125"/>
      <c r="T140" s="299">
        <f t="shared" si="28"/>
        <v>0</v>
      </c>
      <c r="U140" s="125"/>
      <c r="V140" s="290">
        <f t="shared" si="29"/>
        <v>0</v>
      </c>
      <c r="W140" s="125"/>
      <c r="X140" s="282">
        <f t="shared" si="30"/>
        <v>0</v>
      </c>
      <c r="Y140" s="125"/>
      <c r="Z140" s="272">
        <f t="shared" si="31"/>
        <v>0</v>
      </c>
      <c r="AA140" s="66"/>
      <c r="AB140" s="66"/>
    </row>
    <row r="141" spans="1:28" x14ac:dyDescent="0.25">
      <c r="A141" s="125" t="s">
        <v>459</v>
      </c>
      <c r="B141" s="142">
        <v>9873</v>
      </c>
      <c r="C141" s="143" t="s">
        <v>538</v>
      </c>
      <c r="D141" s="142" t="s">
        <v>237</v>
      </c>
      <c r="E141" s="215">
        <f t="shared" si="32"/>
        <v>24</v>
      </c>
      <c r="F141" s="349">
        <f t="shared" si="33"/>
        <v>15.35</v>
      </c>
      <c r="G141" s="344">
        <f t="shared" si="35"/>
        <v>368.4</v>
      </c>
      <c r="H141" s="382" t="s">
        <v>175</v>
      </c>
      <c r="I141" s="384"/>
      <c r="J141" s="384">
        <v>15.35</v>
      </c>
      <c r="K141" s="384"/>
      <c r="L141" s="384"/>
      <c r="M141" s="384"/>
      <c r="N141" s="384"/>
      <c r="O141" s="384"/>
      <c r="P141" s="384"/>
      <c r="Q141" s="380"/>
      <c r="R141" s="306">
        <f t="shared" si="34"/>
        <v>0</v>
      </c>
      <c r="S141" s="380"/>
      <c r="T141" s="300">
        <f t="shared" si="28"/>
        <v>0</v>
      </c>
      <c r="U141" s="380"/>
      <c r="V141" s="292">
        <f t="shared" si="29"/>
        <v>0</v>
      </c>
      <c r="W141" s="380"/>
      <c r="X141" s="284">
        <f t="shared" si="30"/>
        <v>0</v>
      </c>
      <c r="Y141" s="380">
        <v>24</v>
      </c>
      <c r="Z141" s="274">
        <f t="shared" si="31"/>
        <v>368.4</v>
      </c>
      <c r="AA141" s="66"/>
      <c r="AB141" s="66"/>
    </row>
    <row r="142" spans="1:28" s="6" customFormat="1" x14ac:dyDescent="0.25">
      <c r="A142" s="190"/>
      <c r="B142" s="190"/>
      <c r="C142" s="191" t="s">
        <v>1172</v>
      </c>
      <c r="D142" s="192"/>
      <c r="E142" s="193"/>
      <c r="F142" s="325"/>
      <c r="G142" s="301">
        <f>SUM(G5:G141)</f>
        <v>138390.80249999999</v>
      </c>
      <c r="H142" s="225"/>
      <c r="I142" s="325"/>
      <c r="J142" s="325"/>
      <c r="K142" s="325"/>
      <c r="L142" s="325"/>
      <c r="M142" s="325" t="s">
        <v>1177</v>
      </c>
      <c r="N142" s="325"/>
      <c r="O142" s="325"/>
      <c r="P142" s="325"/>
      <c r="Q142" s="190"/>
      <c r="R142" s="303">
        <f>SUM(R5:R141)</f>
        <v>21436.137500000001</v>
      </c>
      <c r="S142" s="196"/>
      <c r="T142" s="303">
        <f>SUM(T5:T141)</f>
        <v>16912.357500000002</v>
      </c>
      <c r="U142" s="197"/>
      <c r="V142" s="303">
        <f>SUM(V5:V141)</f>
        <v>50255.2575</v>
      </c>
      <c r="W142" s="197"/>
      <c r="X142" s="303">
        <f>SUM(X5:X141)</f>
        <v>21309.205000000002</v>
      </c>
      <c r="Y142" s="197"/>
      <c r="Z142" s="303">
        <f>SUM(Z5:Z141)</f>
        <v>28477.845000000005</v>
      </c>
    </row>
    <row r="143" spans="1:28" s="6" customFormat="1" x14ac:dyDescent="0.25">
      <c r="A143" s="55"/>
      <c r="B143" s="55"/>
      <c r="C143" s="194" t="s">
        <v>1109</v>
      </c>
      <c r="D143" s="55">
        <f>COUNTA(A5:A141)</f>
        <v>137</v>
      </c>
      <c r="E143" s="195"/>
      <c r="F143" s="301"/>
      <c r="G143" s="278"/>
      <c r="H143" s="152"/>
      <c r="I143" s="326"/>
      <c r="J143" s="326"/>
      <c r="K143" s="326"/>
      <c r="L143" s="327"/>
      <c r="M143" s="327"/>
      <c r="N143" s="327"/>
      <c r="O143" s="327"/>
      <c r="P143" s="327"/>
      <c r="Q143" s="196"/>
      <c r="R143" s="303"/>
      <c r="S143" s="196"/>
      <c r="T143" s="262"/>
      <c r="U143" s="197"/>
      <c r="V143" s="262"/>
      <c r="W143" s="197"/>
      <c r="X143" s="262"/>
      <c r="Y143" s="197"/>
      <c r="Z143" s="262"/>
    </row>
  </sheetData>
  <mergeCells count="4">
    <mergeCell ref="A1:Z1"/>
    <mergeCell ref="A2:H2"/>
    <mergeCell ref="I2:P2"/>
    <mergeCell ref="Q2:Z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D1" zoomScaleNormal="100" workbookViewId="0">
      <pane ySplit="1" topLeftCell="A36" activePane="bottomLeft" state="frozen"/>
      <selection activeCell="E1" sqref="E1"/>
      <selection pane="bottomLeft" activeCell="C3" sqref="C3"/>
    </sheetView>
  </sheetViews>
  <sheetFormatPr defaultRowHeight="15" x14ac:dyDescent="0.25"/>
  <cols>
    <col min="1" max="1" width="9.140625" customWidth="1"/>
    <col min="3" max="3" width="55.140625" customWidth="1"/>
    <col min="4" max="4" width="9.140625" style="149"/>
    <col min="5" max="5" width="9.140625" style="151"/>
    <col min="6" max="6" width="9.140625" style="270"/>
    <col min="7" max="7" width="10.140625" style="270" bestFit="1" customWidth="1"/>
    <col min="9" max="9" width="10" style="270" customWidth="1"/>
    <col min="10" max="14" width="9.140625" style="270" customWidth="1"/>
    <col min="15" max="15" width="10.140625" style="270" customWidth="1"/>
    <col min="16" max="16" width="9.140625" style="270" customWidth="1"/>
    <col min="17" max="17" width="10.85546875" customWidth="1"/>
    <col min="18" max="18" width="11.42578125" style="270" bestFit="1" customWidth="1"/>
    <col min="20" max="20" width="11" style="270" bestFit="1" customWidth="1"/>
    <col min="21" max="21" width="9.85546875" bestFit="1" customWidth="1"/>
    <col min="22" max="22" width="11" style="270" bestFit="1" customWidth="1"/>
    <col min="23" max="23" width="11.140625" bestFit="1" customWidth="1"/>
    <col min="24" max="24" width="11" style="270" bestFit="1" customWidth="1"/>
    <col min="25" max="25" width="9.85546875" bestFit="1" customWidth="1"/>
    <col min="26" max="26" width="11" style="270" bestFit="1" customWidth="1"/>
  </cols>
  <sheetData>
    <row r="1" spans="1:26" s="353" customFormat="1" ht="64.5" customHeight="1" x14ac:dyDescent="0.25">
      <c r="A1" s="426" t="s">
        <v>1372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spans="1:26" s="6" customFormat="1" ht="15.75" x14ac:dyDescent="0.25">
      <c r="A2" s="427" t="s">
        <v>1376</v>
      </c>
      <c r="B2" s="428"/>
      <c r="C2" s="428"/>
      <c r="D2" s="428"/>
      <c r="E2" s="428"/>
      <c r="F2" s="428"/>
      <c r="G2" s="428"/>
      <c r="H2" s="428"/>
      <c r="I2" s="429" t="s">
        <v>1375</v>
      </c>
      <c r="J2" s="429"/>
      <c r="K2" s="429"/>
      <c r="L2" s="429"/>
      <c r="M2" s="429"/>
      <c r="N2" s="429"/>
      <c r="O2" s="429"/>
      <c r="P2" s="430"/>
      <c r="Q2" s="431" t="s">
        <v>1374</v>
      </c>
      <c r="R2" s="432"/>
      <c r="S2" s="432"/>
      <c r="T2" s="432"/>
      <c r="U2" s="432"/>
      <c r="V2" s="432"/>
      <c r="W2" s="432"/>
      <c r="X2" s="432"/>
      <c r="Y2" s="432"/>
      <c r="Z2" s="432"/>
    </row>
    <row r="3" spans="1:26" s="6" customFormat="1" ht="15.75" thickBot="1" x14ac:dyDescent="0.3">
      <c r="A3" s="217"/>
      <c r="B3" s="217"/>
      <c r="C3" s="217" t="s">
        <v>1173</v>
      </c>
      <c r="D3" s="218"/>
      <c r="E3" s="219"/>
      <c r="F3" s="267"/>
      <c r="G3" s="267"/>
      <c r="H3" s="220"/>
      <c r="I3" s="310"/>
      <c r="J3" s="311" t="s">
        <v>215</v>
      </c>
      <c r="K3" s="312"/>
      <c r="L3" s="312"/>
      <c r="M3" s="312"/>
      <c r="N3" s="312"/>
      <c r="O3" s="312"/>
      <c r="P3" s="313"/>
      <c r="Q3" s="220"/>
      <c r="R3" s="267"/>
      <c r="S3" s="221" t="s">
        <v>1176</v>
      </c>
      <c r="T3" s="267"/>
      <c r="U3" s="220"/>
      <c r="V3" s="267"/>
      <c r="W3" s="220"/>
      <c r="X3" s="267"/>
      <c r="Y3" s="220"/>
      <c r="Z3" s="267"/>
    </row>
    <row r="4" spans="1:26" s="6" customFormat="1" ht="45" x14ac:dyDescent="0.25">
      <c r="A4" s="54" t="s">
        <v>0</v>
      </c>
      <c r="B4" s="54" t="s">
        <v>1095</v>
      </c>
      <c r="C4" s="17" t="s">
        <v>224</v>
      </c>
      <c r="D4" s="24" t="s">
        <v>225</v>
      </c>
      <c r="E4" s="19" t="s">
        <v>2</v>
      </c>
      <c r="F4" s="354" t="s">
        <v>227</v>
      </c>
      <c r="G4" s="354" t="s">
        <v>217</v>
      </c>
      <c r="H4" s="355" t="s">
        <v>226</v>
      </c>
      <c r="I4" s="356" t="s">
        <v>173</v>
      </c>
      <c r="J4" s="357" t="s">
        <v>175</v>
      </c>
      <c r="K4" s="316" t="s">
        <v>196</v>
      </c>
      <c r="L4" s="316" t="s">
        <v>182</v>
      </c>
      <c r="M4" s="315" t="s">
        <v>193</v>
      </c>
      <c r="N4" s="317" t="s">
        <v>208</v>
      </c>
      <c r="O4" s="317" t="s">
        <v>209</v>
      </c>
      <c r="P4" s="317" t="s">
        <v>216</v>
      </c>
      <c r="Q4" s="162" t="s">
        <v>1108</v>
      </c>
      <c r="R4" s="302" t="s">
        <v>1099</v>
      </c>
      <c r="S4" s="172" t="s">
        <v>1107</v>
      </c>
      <c r="T4" s="297" t="s">
        <v>1099</v>
      </c>
      <c r="U4" s="163" t="s">
        <v>1106</v>
      </c>
      <c r="V4" s="288" t="s">
        <v>1099</v>
      </c>
      <c r="W4" s="164" t="s">
        <v>1105</v>
      </c>
      <c r="X4" s="280" t="s">
        <v>1099</v>
      </c>
      <c r="Y4" s="165" t="s">
        <v>1104</v>
      </c>
      <c r="Z4" s="268" t="s">
        <v>1099</v>
      </c>
    </row>
    <row r="5" spans="1:26" s="6" customFormat="1" ht="30" x14ac:dyDescent="0.25">
      <c r="A5" s="222" t="s">
        <v>710</v>
      </c>
      <c r="B5" s="222">
        <v>20212</v>
      </c>
      <c r="C5" s="239" t="s">
        <v>969</v>
      </c>
      <c r="D5" s="222" t="s">
        <v>237</v>
      </c>
      <c r="E5" s="67">
        <f t="shared" ref="E5:E47" si="0">Q5+S5+U5+W5+Y5</f>
        <v>0</v>
      </c>
      <c r="F5" s="401">
        <f t="shared" ref="F5:F47" si="1">IF(H5="SINAPI",J5,AVERAGE(J5:P5))</f>
        <v>19.350000000000001</v>
      </c>
      <c r="G5" s="304">
        <f t="shared" ref="G5:G47" si="2">R5+T5+V5+X5+Z5</f>
        <v>0</v>
      </c>
      <c r="H5" s="222" t="s">
        <v>175</v>
      </c>
      <c r="I5" s="401"/>
      <c r="J5" s="401">
        <v>19.350000000000001</v>
      </c>
      <c r="K5" s="402"/>
      <c r="L5" s="402"/>
      <c r="M5" s="402"/>
      <c r="N5" s="402"/>
      <c r="O5" s="402"/>
      <c r="P5" s="402"/>
      <c r="R5" s="402"/>
      <c r="T5" s="402"/>
      <c r="V5" s="402"/>
      <c r="X5" s="402"/>
      <c r="Z5" s="402"/>
    </row>
    <row r="6" spans="1:26" s="6" customFormat="1" ht="30" x14ac:dyDescent="0.25">
      <c r="A6" s="222" t="s">
        <v>712</v>
      </c>
      <c r="B6" s="222">
        <v>4430</v>
      </c>
      <c r="C6" s="239" t="s">
        <v>970</v>
      </c>
      <c r="D6" s="222" t="s">
        <v>237</v>
      </c>
      <c r="E6" s="67">
        <f t="shared" si="0"/>
        <v>0</v>
      </c>
      <c r="F6" s="401">
        <f t="shared" si="1"/>
        <v>12.28</v>
      </c>
      <c r="G6" s="304">
        <f t="shared" si="2"/>
        <v>0</v>
      </c>
      <c r="H6" s="222" t="s">
        <v>175</v>
      </c>
      <c r="I6" s="401"/>
      <c r="J6" s="401">
        <v>12.28</v>
      </c>
      <c r="K6" s="402"/>
      <c r="L6" s="402"/>
      <c r="M6" s="402"/>
      <c r="N6" s="402"/>
      <c r="O6" s="402"/>
      <c r="P6" s="402"/>
      <c r="R6" s="402"/>
      <c r="T6" s="402"/>
      <c r="V6" s="402"/>
      <c r="X6" s="402"/>
      <c r="Z6" s="402"/>
    </row>
    <row r="7" spans="1:26" s="6" customFormat="1" ht="30" x14ac:dyDescent="0.25">
      <c r="A7" s="222" t="s">
        <v>713</v>
      </c>
      <c r="B7" s="222">
        <v>4400</v>
      </c>
      <c r="C7" s="239" t="s">
        <v>971</v>
      </c>
      <c r="D7" s="222" t="s">
        <v>237</v>
      </c>
      <c r="E7" s="67">
        <f t="shared" si="0"/>
        <v>0</v>
      </c>
      <c r="F7" s="401">
        <f t="shared" si="1"/>
        <v>15.51</v>
      </c>
      <c r="G7" s="304">
        <f t="shared" si="2"/>
        <v>0</v>
      </c>
      <c r="H7" s="222" t="s">
        <v>175</v>
      </c>
      <c r="I7" s="401"/>
      <c r="J7" s="401">
        <v>15.51</v>
      </c>
      <c r="K7" s="402"/>
      <c r="L7" s="402"/>
      <c r="M7" s="402"/>
      <c r="N7" s="402"/>
      <c r="O7" s="402"/>
      <c r="P7" s="402"/>
      <c r="R7" s="402"/>
      <c r="T7" s="402"/>
      <c r="V7" s="402"/>
      <c r="X7" s="402"/>
      <c r="Z7" s="402"/>
    </row>
    <row r="8" spans="1:26" s="6" customFormat="1" ht="30" x14ac:dyDescent="0.25">
      <c r="A8" s="222" t="s">
        <v>715</v>
      </c>
      <c r="B8" s="222">
        <v>4500</v>
      </c>
      <c r="C8" s="239" t="s">
        <v>972</v>
      </c>
      <c r="D8" s="222" t="s">
        <v>237</v>
      </c>
      <c r="E8" s="67">
        <f t="shared" si="0"/>
        <v>0</v>
      </c>
      <c r="F8" s="401">
        <f t="shared" si="1"/>
        <v>9.66</v>
      </c>
      <c r="G8" s="304">
        <f t="shared" si="2"/>
        <v>0</v>
      </c>
      <c r="H8" s="222" t="s">
        <v>175</v>
      </c>
      <c r="I8" s="401"/>
      <c r="J8" s="401">
        <v>9.66</v>
      </c>
      <c r="K8" s="402"/>
      <c r="L8" s="402"/>
      <c r="M8" s="402"/>
      <c r="N8" s="402"/>
      <c r="O8" s="402"/>
      <c r="P8" s="402"/>
      <c r="R8" s="402"/>
      <c r="T8" s="402"/>
      <c r="V8" s="402"/>
      <c r="X8" s="402"/>
      <c r="Z8" s="402"/>
    </row>
    <row r="9" spans="1:26" s="6" customFormat="1" ht="30" x14ac:dyDescent="0.25">
      <c r="A9" s="222" t="s">
        <v>716</v>
      </c>
      <c r="B9" s="222">
        <v>4513</v>
      </c>
      <c r="C9" s="239" t="s">
        <v>973</v>
      </c>
      <c r="D9" s="222" t="s">
        <v>237</v>
      </c>
      <c r="E9" s="67">
        <f t="shared" si="0"/>
        <v>0</v>
      </c>
      <c r="F9" s="401">
        <f t="shared" si="1"/>
        <v>2.59</v>
      </c>
      <c r="G9" s="304">
        <f t="shared" si="2"/>
        <v>0</v>
      </c>
      <c r="H9" s="222" t="s">
        <v>175</v>
      </c>
      <c r="I9" s="401"/>
      <c r="J9" s="401">
        <v>2.59</v>
      </c>
      <c r="K9" s="402"/>
      <c r="L9" s="402"/>
      <c r="M9" s="402"/>
      <c r="N9" s="402"/>
      <c r="O9" s="402"/>
      <c r="P9" s="402"/>
      <c r="R9" s="402"/>
      <c r="T9" s="402"/>
      <c r="V9" s="402"/>
      <c r="X9" s="402"/>
      <c r="Z9" s="402"/>
    </row>
    <row r="10" spans="1:26" s="6" customFormat="1" ht="30" x14ac:dyDescent="0.25">
      <c r="A10" s="222" t="s">
        <v>718</v>
      </c>
      <c r="B10" s="222">
        <v>4496</v>
      </c>
      <c r="C10" s="239" t="s">
        <v>974</v>
      </c>
      <c r="D10" s="222" t="s">
        <v>237</v>
      </c>
      <c r="E10" s="67">
        <f t="shared" si="0"/>
        <v>0</v>
      </c>
      <c r="F10" s="401">
        <f t="shared" si="1"/>
        <v>8.32</v>
      </c>
      <c r="G10" s="304">
        <f t="shared" si="2"/>
        <v>0</v>
      </c>
      <c r="H10" s="222" t="s">
        <v>175</v>
      </c>
      <c r="I10" s="401"/>
      <c r="J10" s="401">
        <v>8.32</v>
      </c>
      <c r="K10" s="402"/>
      <c r="L10" s="402"/>
      <c r="M10" s="402"/>
      <c r="N10" s="402"/>
      <c r="O10" s="402"/>
      <c r="P10" s="402"/>
      <c r="R10" s="402"/>
      <c r="T10" s="402"/>
      <c r="V10" s="402"/>
      <c r="X10" s="402"/>
      <c r="Z10" s="402"/>
    </row>
    <row r="11" spans="1:26" s="88" customFormat="1" x14ac:dyDescent="0.25">
      <c r="A11" s="190" t="s">
        <v>719</v>
      </c>
      <c r="B11" s="67"/>
      <c r="C11" s="68" t="s">
        <v>132</v>
      </c>
      <c r="D11" s="67" t="s">
        <v>83</v>
      </c>
      <c r="E11" s="69">
        <f t="shared" si="0"/>
        <v>550</v>
      </c>
      <c r="F11" s="348">
        <f t="shared" si="1"/>
        <v>26.895</v>
      </c>
      <c r="G11" s="344">
        <f t="shared" si="2"/>
        <v>14792.25</v>
      </c>
      <c r="H11" s="79"/>
      <c r="I11" s="304">
        <v>50.75</v>
      </c>
      <c r="J11" s="335">
        <v>5.79</v>
      </c>
      <c r="K11" s="391">
        <v>48</v>
      </c>
      <c r="L11" s="335"/>
      <c r="M11" s="334"/>
      <c r="N11" s="335"/>
      <c r="O11" s="335"/>
      <c r="P11" s="335"/>
      <c r="Q11" s="91">
        <v>50</v>
      </c>
      <c r="R11" s="303">
        <f>$F11*Q11</f>
        <v>1344.75</v>
      </c>
      <c r="S11" s="72">
        <v>100</v>
      </c>
      <c r="T11" s="299">
        <f>$F11*S11</f>
        <v>2689.5</v>
      </c>
      <c r="U11" s="92">
        <v>100</v>
      </c>
      <c r="V11" s="290">
        <f>$F11*U11</f>
        <v>2689.5</v>
      </c>
      <c r="W11" s="93">
        <v>250</v>
      </c>
      <c r="X11" s="282">
        <f>$F11*W11</f>
        <v>6723.75</v>
      </c>
      <c r="Y11" s="94">
        <v>50</v>
      </c>
      <c r="Z11" s="272">
        <f>$F11*Y11</f>
        <v>1344.75</v>
      </c>
    </row>
    <row r="12" spans="1:26" s="6" customFormat="1" ht="30" x14ac:dyDescent="0.25">
      <c r="A12" s="222" t="s">
        <v>721</v>
      </c>
      <c r="B12" s="222">
        <v>2729</v>
      </c>
      <c r="C12" s="239" t="s">
        <v>975</v>
      </c>
      <c r="D12" s="222" t="s">
        <v>229</v>
      </c>
      <c r="E12" s="67">
        <f t="shared" si="0"/>
        <v>0</v>
      </c>
      <c r="F12" s="401">
        <f t="shared" si="1"/>
        <v>12.7</v>
      </c>
      <c r="G12" s="304">
        <f t="shared" si="2"/>
        <v>0</v>
      </c>
      <c r="H12" s="222" t="s">
        <v>175</v>
      </c>
      <c r="I12" s="401"/>
      <c r="J12" s="401">
        <v>12.7</v>
      </c>
      <c r="K12" s="402"/>
      <c r="L12" s="402"/>
      <c r="M12" s="402"/>
      <c r="N12" s="402"/>
      <c r="O12" s="402"/>
      <c r="P12" s="402"/>
      <c r="R12" s="402"/>
      <c r="T12" s="402"/>
      <c r="V12" s="402"/>
      <c r="X12" s="402"/>
      <c r="Z12" s="402"/>
    </row>
    <row r="13" spans="1:26" s="6" customFormat="1" ht="45" x14ac:dyDescent="0.25">
      <c r="A13" s="222" t="s">
        <v>722</v>
      </c>
      <c r="B13" s="222">
        <v>3288</v>
      </c>
      <c r="C13" s="239" t="s">
        <v>976</v>
      </c>
      <c r="D13" s="222" t="s">
        <v>237</v>
      </c>
      <c r="E13" s="67">
        <f t="shared" si="0"/>
        <v>0</v>
      </c>
      <c r="F13" s="401">
        <f t="shared" si="1"/>
        <v>3.78</v>
      </c>
      <c r="G13" s="304">
        <f t="shared" si="2"/>
        <v>0</v>
      </c>
      <c r="H13" s="222" t="s">
        <v>175</v>
      </c>
      <c r="I13" s="401"/>
      <c r="J13" s="401">
        <v>3.78</v>
      </c>
      <c r="K13" s="402"/>
      <c r="L13" s="402"/>
      <c r="M13" s="402"/>
      <c r="N13" s="402"/>
      <c r="O13" s="402"/>
      <c r="P13" s="402"/>
      <c r="R13" s="402"/>
      <c r="T13" s="402"/>
      <c r="V13" s="402"/>
      <c r="X13" s="402"/>
      <c r="Z13" s="402"/>
    </row>
    <row r="14" spans="1:26" s="88" customFormat="1" x14ac:dyDescent="0.25">
      <c r="A14" s="123" t="s">
        <v>724</v>
      </c>
      <c r="B14" s="392"/>
      <c r="C14" s="393" t="s">
        <v>1382</v>
      </c>
      <c r="D14" s="394" t="s">
        <v>83</v>
      </c>
      <c r="E14" s="215">
        <f t="shared" si="0"/>
        <v>400</v>
      </c>
      <c r="F14" s="349">
        <f t="shared" si="1"/>
        <v>8</v>
      </c>
      <c r="G14" s="347">
        <f t="shared" si="2"/>
        <v>3200</v>
      </c>
      <c r="H14" s="214" t="s">
        <v>1100</v>
      </c>
      <c r="I14" s="395">
        <v>31.22</v>
      </c>
      <c r="J14" s="396"/>
      <c r="K14" s="334">
        <v>8</v>
      </c>
      <c r="L14" s="335"/>
      <c r="M14" s="334"/>
      <c r="N14" s="335"/>
      <c r="O14" s="335"/>
      <c r="P14" s="335"/>
      <c r="Q14" s="91">
        <v>50</v>
      </c>
      <c r="R14" s="303">
        <f t="shared" ref="R14:R26" si="3">$F14*Q14</f>
        <v>400</v>
      </c>
      <c r="S14" s="72">
        <v>100</v>
      </c>
      <c r="T14" s="299">
        <f t="shared" ref="T14:T26" si="4">$F14*S14</f>
        <v>800</v>
      </c>
      <c r="U14" s="92">
        <v>100</v>
      </c>
      <c r="V14" s="290">
        <f t="shared" ref="V14:V26" si="5">$F14*U14</f>
        <v>800</v>
      </c>
      <c r="W14" s="93">
        <v>100</v>
      </c>
      <c r="X14" s="282">
        <f t="shared" ref="X14:X26" si="6">$F14*W14</f>
        <v>800</v>
      </c>
      <c r="Y14" s="94">
        <v>50</v>
      </c>
      <c r="Z14" s="272">
        <f t="shared" ref="Z14:Z26" si="7">$F14*Y14</f>
        <v>400</v>
      </c>
    </row>
    <row r="15" spans="1:26" s="88" customFormat="1" x14ac:dyDescent="0.25">
      <c r="A15" s="123" t="s">
        <v>725</v>
      </c>
      <c r="B15" s="90"/>
      <c r="C15" s="98" t="s">
        <v>149</v>
      </c>
      <c r="D15" s="90" t="s">
        <v>83</v>
      </c>
      <c r="E15" s="215">
        <f t="shared" si="0"/>
        <v>405</v>
      </c>
      <c r="F15" s="349">
        <f t="shared" si="1"/>
        <v>50.8</v>
      </c>
      <c r="G15" s="344">
        <f t="shared" si="2"/>
        <v>20574</v>
      </c>
      <c r="H15" s="79" t="s">
        <v>1100</v>
      </c>
      <c r="I15" s="336">
        <v>50.08</v>
      </c>
      <c r="J15" s="334"/>
      <c r="K15" s="334"/>
      <c r="L15" s="335"/>
      <c r="M15" s="334"/>
      <c r="N15" s="335">
        <v>50.8</v>
      </c>
      <c r="O15" s="335"/>
      <c r="P15" s="335"/>
      <c r="Q15" s="91">
        <v>10</v>
      </c>
      <c r="R15" s="303">
        <f t="shared" si="3"/>
        <v>508</v>
      </c>
      <c r="S15" s="72">
        <v>20</v>
      </c>
      <c r="T15" s="299">
        <f t="shared" si="4"/>
        <v>1016</v>
      </c>
      <c r="U15" s="92">
        <v>25</v>
      </c>
      <c r="V15" s="290">
        <f t="shared" si="5"/>
        <v>1270</v>
      </c>
      <c r="W15" s="93">
        <v>300</v>
      </c>
      <c r="X15" s="282">
        <f t="shared" si="6"/>
        <v>15240</v>
      </c>
      <c r="Y15" s="94">
        <v>50</v>
      </c>
      <c r="Z15" s="272">
        <f t="shared" si="7"/>
        <v>2540</v>
      </c>
    </row>
    <row r="16" spans="1:26" s="88" customFormat="1" x14ac:dyDescent="0.25">
      <c r="A16" s="123" t="s">
        <v>727</v>
      </c>
      <c r="B16" s="119"/>
      <c r="C16" s="97" t="s">
        <v>153</v>
      </c>
      <c r="D16" s="100" t="s">
        <v>180</v>
      </c>
      <c r="E16" s="215">
        <f t="shared" si="0"/>
        <v>220</v>
      </c>
      <c r="F16" s="349">
        <f t="shared" si="1"/>
        <v>39.08</v>
      </c>
      <c r="G16" s="344">
        <f t="shared" si="2"/>
        <v>8597.6</v>
      </c>
      <c r="H16" s="79" t="s">
        <v>1100</v>
      </c>
      <c r="I16" s="337">
        <v>1275.75</v>
      </c>
      <c r="J16" s="334">
        <v>89.49</v>
      </c>
      <c r="K16" s="334">
        <v>15</v>
      </c>
      <c r="L16" s="335"/>
      <c r="M16" s="334"/>
      <c r="N16" s="335"/>
      <c r="O16" s="335"/>
      <c r="P16" s="335">
        <v>12.75</v>
      </c>
      <c r="Q16" s="91">
        <v>10</v>
      </c>
      <c r="R16" s="303">
        <f t="shared" si="3"/>
        <v>390.79999999999995</v>
      </c>
      <c r="S16" s="72">
        <v>50</v>
      </c>
      <c r="T16" s="299">
        <f t="shared" si="4"/>
        <v>1954</v>
      </c>
      <c r="U16" s="92">
        <v>100</v>
      </c>
      <c r="V16" s="290">
        <f t="shared" si="5"/>
        <v>3908</v>
      </c>
      <c r="W16" s="93">
        <v>40</v>
      </c>
      <c r="X16" s="282">
        <f t="shared" si="6"/>
        <v>1563.1999999999998</v>
      </c>
      <c r="Y16" s="94">
        <v>20</v>
      </c>
      <c r="Z16" s="272">
        <f t="shared" si="7"/>
        <v>781.59999999999991</v>
      </c>
    </row>
    <row r="17" spans="1:26" s="88" customFormat="1" x14ac:dyDescent="0.25">
      <c r="A17" s="123" t="s">
        <v>728</v>
      </c>
      <c r="B17" s="84"/>
      <c r="C17" s="85" t="s">
        <v>160</v>
      </c>
      <c r="D17" s="90" t="s">
        <v>1</v>
      </c>
      <c r="E17" s="215">
        <f t="shared" si="0"/>
        <v>150</v>
      </c>
      <c r="F17" s="349">
        <f t="shared" si="1"/>
        <v>13.64</v>
      </c>
      <c r="G17" s="344">
        <f t="shared" si="2"/>
        <v>2046</v>
      </c>
      <c r="H17" s="79" t="s">
        <v>1100</v>
      </c>
      <c r="I17" s="304">
        <v>9.0299999999999994</v>
      </c>
      <c r="J17" s="334">
        <f>2.2*5.45</f>
        <v>11.990000000000002</v>
      </c>
      <c r="K17" s="334">
        <v>15.29</v>
      </c>
      <c r="L17" s="335"/>
      <c r="M17" s="334"/>
      <c r="N17" s="335"/>
      <c r="O17" s="335"/>
      <c r="P17" s="335"/>
      <c r="Q17" s="91">
        <v>5</v>
      </c>
      <c r="R17" s="303">
        <f t="shared" si="3"/>
        <v>68.2</v>
      </c>
      <c r="S17" s="72">
        <v>25</v>
      </c>
      <c r="T17" s="299">
        <f t="shared" si="4"/>
        <v>341</v>
      </c>
      <c r="U17" s="92">
        <v>10</v>
      </c>
      <c r="V17" s="290">
        <f t="shared" si="5"/>
        <v>136.4</v>
      </c>
      <c r="W17" s="93">
        <v>100</v>
      </c>
      <c r="X17" s="282">
        <f t="shared" si="6"/>
        <v>1364</v>
      </c>
      <c r="Y17" s="94">
        <v>10</v>
      </c>
      <c r="Z17" s="272">
        <f t="shared" si="7"/>
        <v>136.4</v>
      </c>
    </row>
    <row r="18" spans="1:26" s="32" customFormat="1" x14ac:dyDescent="0.25">
      <c r="A18" s="123" t="s">
        <v>730</v>
      </c>
      <c r="B18" s="90"/>
      <c r="C18" s="89" t="s">
        <v>161</v>
      </c>
      <c r="D18" s="90" t="s">
        <v>1</v>
      </c>
      <c r="E18" s="215">
        <f t="shared" si="0"/>
        <v>240</v>
      </c>
      <c r="F18" s="349">
        <f t="shared" si="1"/>
        <v>23.743333333333336</v>
      </c>
      <c r="G18" s="344">
        <f t="shared" si="2"/>
        <v>5698.4000000000005</v>
      </c>
      <c r="H18" s="79" t="s">
        <v>1100</v>
      </c>
      <c r="I18" s="304">
        <v>28.88</v>
      </c>
      <c r="J18" s="334">
        <f>10.54*3.5</f>
        <v>36.89</v>
      </c>
      <c r="K18" s="334">
        <v>20.350000000000001</v>
      </c>
      <c r="L18" s="335"/>
      <c r="M18" s="334"/>
      <c r="N18" s="335">
        <v>13.99</v>
      </c>
      <c r="O18" s="335"/>
      <c r="P18" s="335"/>
      <c r="Q18" s="91">
        <v>5</v>
      </c>
      <c r="R18" s="303">
        <f t="shared" si="3"/>
        <v>118.71666666666668</v>
      </c>
      <c r="S18" s="103">
        <v>25</v>
      </c>
      <c r="T18" s="299">
        <f t="shared" si="4"/>
        <v>593.58333333333337</v>
      </c>
      <c r="U18" s="104">
        <v>100</v>
      </c>
      <c r="V18" s="290">
        <f t="shared" si="5"/>
        <v>2374.3333333333335</v>
      </c>
      <c r="W18" s="93">
        <v>80</v>
      </c>
      <c r="X18" s="282">
        <f t="shared" si="6"/>
        <v>1899.4666666666669</v>
      </c>
      <c r="Y18" s="94">
        <v>30</v>
      </c>
      <c r="Z18" s="272">
        <f t="shared" si="7"/>
        <v>712.30000000000007</v>
      </c>
    </row>
    <row r="19" spans="1:26" s="32" customFormat="1" x14ac:dyDescent="0.25">
      <c r="A19" s="123" t="s">
        <v>731</v>
      </c>
      <c r="B19" s="106"/>
      <c r="C19" s="89" t="s">
        <v>181</v>
      </c>
      <c r="D19" s="106" t="s">
        <v>219</v>
      </c>
      <c r="E19" s="215">
        <f t="shared" si="0"/>
        <v>250</v>
      </c>
      <c r="F19" s="349">
        <f t="shared" si="1"/>
        <v>45.5</v>
      </c>
      <c r="G19" s="344">
        <f t="shared" si="2"/>
        <v>11375</v>
      </c>
      <c r="H19" s="79" t="s">
        <v>1100</v>
      </c>
      <c r="I19" s="304">
        <v>38.5</v>
      </c>
      <c r="J19" s="334"/>
      <c r="K19" s="334"/>
      <c r="L19" s="335"/>
      <c r="M19" s="334"/>
      <c r="N19" s="335">
        <f>45.5</f>
        <v>45.5</v>
      </c>
      <c r="O19" s="335"/>
      <c r="P19" s="335"/>
      <c r="Q19" s="91">
        <v>5</v>
      </c>
      <c r="R19" s="303">
        <f t="shared" si="3"/>
        <v>227.5</v>
      </c>
      <c r="S19" s="103">
        <v>25</v>
      </c>
      <c r="T19" s="299">
        <f t="shared" si="4"/>
        <v>1137.5</v>
      </c>
      <c r="U19" s="104">
        <v>70</v>
      </c>
      <c r="V19" s="290">
        <f t="shared" si="5"/>
        <v>3185</v>
      </c>
      <c r="W19" s="93">
        <v>100</v>
      </c>
      <c r="X19" s="282">
        <f t="shared" si="6"/>
        <v>4550</v>
      </c>
      <c r="Y19" s="94">
        <v>50</v>
      </c>
      <c r="Z19" s="272">
        <f t="shared" si="7"/>
        <v>2275</v>
      </c>
    </row>
    <row r="20" spans="1:26" s="32" customFormat="1" x14ac:dyDescent="0.25">
      <c r="A20" s="123" t="s">
        <v>733</v>
      </c>
      <c r="B20" s="106"/>
      <c r="C20" s="89" t="s">
        <v>162</v>
      </c>
      <c r="D20" s="106" t="s">
        <v>219</v>
      </c>
      <c r="E20" s="215">
        <f t="shared" si="0"/>
        <v>295</v>
      </c>
      <c r="F20" s="349">
        <f t="shared" si="1"/>
        <v>45.5</v>
      </c>
      <c r="G20" s="344">
        <f t="shared" si="2"/>
        <v>13422.5</v>
      </c>
      <c r="H20" s="79" t="s">
        <v>1100</v>
      </c>
      <c r="I20" s="304">
        <v>0</v>
      </c>
      <c r="J20" s="334"/>
      <c r="K20" s="334"/>
      <c r="L20" s="335"/>
      <c r="M20" s="334"/>
      <c r="N20" s="335">
        <f>45.5</f>
        <v>45.5</v>
      </c>
      <c r="O20" s="335"/>
      <c r="P20" s="335"/>
      <c r="Q20" s="91">
        <v>0</v>
      </c>
      <c r="R20" s="303">
        <f t="shared" si="3"/>
        <v>0</v>
      </c>
      <c r="S20" s="103">
        <v>25</v>
      </c>
      <c r="T20" s="299">
        <f t="shared" si="4"/>
        <v>1137.5</v>
      </c>
      <c r="U20" s="104">
        <v>70</v>
      </c>
      <c r="V20" s="290">
        <f t="shared" si="5"/>
        <v>3185</v>
      </c>
      <c r="W20" s="93">
        <v>100</v>
      </c>
      <c r="X20" s="282">
        <f t="shared" si="6"/>
        <v>4550</v>
      </c>
      <c r="Y20" s="94">
        <v>100</v>
      </c>
      <c r="Z20" s="272">
        <f t="shared" si="7"/>
        <v>4550</v>
      </c>
    </row>
    <row r="21" spans="1:26" s="32" customFormat="1" x14ac:dyDescent="0.25">
      <c r="A21" s="123" t="s">
        <v>734</v>
      </c>
      <c r="B21" s="106"/>
      <c r="C21" s="89" t="s">
        <v>163</v>
      </c>
      <c r="D21" s="106" t="s">
        <v>219</v>
      </c>
      <c r="E21" s="215">
        <f t="shared" si="0"/>
        <v>295</v>
      </c>
      <c r="F21" s="349">
        <f t="shared" si="1"/>
        <v>45.5</v>
      </c>
      <c r="G21" s="344">
        <f t="shared" si="2"/>
        <v>13422.5</v>
      </c>
      <c r="H21" s="79" t="s">
        <v>1100</v>
      </c>
      <c r="I21" s="304">
        <v>0</v>
      </c>
      <c r="J21" s="334"/>
      <c r="K21" s="334"/>
      <c r="L21" s="335"/>
      <c r="M21" s="334"/>
      <c r="N21" s="335">
        <f>45.5</f>
        <v>45.5</v>
      </c>
      <c r="O21" s="335"/>
      <c r="P21" s="335"/>
      <c r="Q21" s="91">
        <v>0</v>
      </c>
      <c r="R21" s="303">
        <f t="shared" si="3"/>
        <v>0</v>
      </c>
      <c r="S21" s="103">
        <v>25</v>
      </c>
      <c r="T21" s="299">
        <f t="shared" si="4"/>
        <v>1137.5</v>
      </c>
      <c r="U21" s="104">
        <v>70</v>
      </c>
      <c r="V21" s="290">
        <f t="shared" si="5"/>
        <v>3185</v>
      </c>
      <c r="W21" s="93">
        <v>100</v>
      </c>
      <c r="X21" s="282">
        <f t="shared" si="6"/>
        <v>4550</v>
      </c>
      <c r="Y21" s="94">
        <v>100</v>
      </c>
      <c r="Z21" s="272">
        <f t="shared" si="7"/>
        <v>4550</v>
      </c>
    </row>
    <row r="22" spans="1:26" s="32" customFormat="1" x14ac:dyDescent="0.25">
      <c r="A22" s="123" t="s">
        <v>736</v>
      </c>
      <c r="B22" s="105"/>
      <c r="C22" s="68" t="s">
        <v>164</v>
      </c>
      <c r="D22" s="106" t="s">
        <v>219</v>
      </c>
      <c r="E22" s="215">
        <f t="shared" si="0"/>
        <v>260</v>
      </c>
      <c r="F22" s="349">
        <f t="shared" si="1"/>
        <v>45.5</v>
      </c>
      <c r="G22" s="344">
        <f t="shared" si="2"/>
        <v>11830</v>
      </c>
      <c r="H22" s="79" t="s">
        <v>1100</v>
      </c>
      <c r="I22" s="304">
        <v>0</v>
      </c>
      <c r="J22" s="334"/>
      <c r="K22" s="334"/>
      <c r="L22" s="335"/>
      <c r="M22" s="334"/>
      <c r="N22" s="335">
        <f>45.5</f>
        <v>45.5</v>
      </c>
      <c r="O22" s="335"/>
      <c r="P22" s="335"/>
      <c r="Q22" s="91">
        <v>0</v>
      </c>
      <c r="R22" s="303">
        <f t="shared" si="3"/>
        <v>0</v>
      </c>
      <c r="S22" s="103">
        <v>10</v>
      </c>
      <c r="T22" s="299">
        <f t="shared" si="4"/>
        <v>455</v>
      </c>
      <c r="U22" s="104">
        <v>50</v>
      </c>
      <c r="V22" s="290">
        <f t="shared" si="5"/>
        <v>2275</v>
      </c>
      <c r="W22" s="93">
        <v>100</v>
      </c>
      <c r="X22" s="282">
        <f t="shared" si="6"/>
        <v>4550</v>
      </c>
      <c r="Y22" s="94">
        <v>100</v>
      </c>
      <c r="Z22" s="272">
        <f t="shared" si="7"/>
        <v>4550</v>
      </c>
    </row>
    <row r="23" spans="1:26" s="88" customFormat="1" x14ac:dyDescent="0.25">
      <c r="A23" s="123" t="s">
        <v>737</v>
      </c>
      <c r="B23" s="84"/>
      <c r="C23" s="101" t="s">
        <v>169</v>
      </c>
      <c r="D23" s="90" t="s">
        <v>1</v>
      </c>
      <c r="E23" s="215">
        <f t="shared" si="0"/>
        <v>260</v>
      </c>
      <c r="F23" s="349">
        <f t="shared" si="1"/>
        <v>13.875</v>
      </c>
      <c r="G23" s="344">
        <f t="shared" si="2"/>
        <v>3607.5</v>
      </c>
      <c r="H23" s="79" t="s">
        <v>1100</v>
      </c>
      <c r="I23" s="304">
        <v>16.059999999999999</v>
      </c>
      <c r="J23" s="334"/>
      <c r="K23" s="334">
        <v>15</v>
      </c>
      <c r="L23" s="335"/>
      <c r="M23" s="334"/>
      <c r="N23" s="335"/>
      <c r="O23" s="335"/>
      <c r="P23" s="335">
        <v>12.75</v>
      </c>
      <c r="Q23" s="91">
        <v>10</v>
      </c>
      <c r="R23" s="303">
        <f t="shared" si="3"/>
        <v>138.75</v>
      </c>
      <c r="S23" s="72">
        <v>50</v>
      </c>
      <c r="T23" s="299">
        <f t="shared" si="4"/>
        <v>693.75</v>
      </c>
      <c r="U23" s="92">
        <v>50</v>
      </c>
      <c r="V23" s="290">
        <f t="shared" si="5"/>
        <v>693.75</v>
      </c>
      <c r="W23" s="93">
        <v>50</v>
      </c>
      <c r="X23" s="282">
        <f t="shared" si="6"/>
        <v>693.75</v>
      </c>
      <c r="Y23" s="94">
        <v>100</v>
      </c>
      <c r="Z23" s="272">
        <f t="shared" si="7"/>
        <v>1387.5</v>
      </c>
    </row>
    <row r="24" spans="1:26" s="88" customFormat="1" x14ac:dyDescent="0.25">
      <c r="A24" s="123" t="s">
        <v>739</v>
      </c>
      <c r="B24" s="84"/>
      <c r="C24" s="101" t="s">
        <v>170</v>
      </c>
      <c r="D24" s="90" t="s">
        <v>1</v>
      </c>
      <c r="E24" s="215">
        <f t="shared" si="0"/>
        <v>270</v>
      </c>
      <c r="F24" s="349">
        <f t="shared" si="1"/>
        <v>16.965</v>
      </c>
      <c r="G24" s="344">
        <f t="shared" si="2"/>
        <v>4580.55</v>
      </c>
      <c r="H24" s="79" t="s">
        <v>1100</v>
      </c>
      <c r="I24" s="304">
        <v>18.559999999999999</v>
      </c>
      <c r="J24" s="334"/>
      <c r="K24" s="334">
        <v>18</v>
      </c>
      <c r="L24" s="335"/>
      <c r="M24" s="334"/>
      <c r="N24" s="335"/>
      <c r="O24" s="335"/>
      <c r="P24" s="335">
        <v>15.93</v>
      </c>
      <c r="Q24" s="91">
        <v>20</v>
      </c>
      <c r="R24" s="303">
        <f t="shared" si="3"/>
        <v>339.3</v>
      </c>
      <c r="S24" s="72">
        <v>50</v>
      </c>
      <c r="T24" s="299">
        <f t="shared" si="4"/>
        <v>848.25</v>
      </c>
      <c r="U24" s="92">
        <v>50</v>
      </c>
      <c r="V24" s="290">
        <f t="shared" si="5"/>
        <v>848.25</v>
      </c>
      <c r="W24" s="93">
        <v>50</v>
      </c>
      <c r="X24" s="282">
        <f t="shared" si="6"/>
        <v>848.25</v>
      </c>
      <c r="Y24" s="94">
        <v>100</v>
      </c>
      <c r="Z24" s="272">
        <f t="shared" si="7"/>
        <v>1696.5</v>
      </c>
    </row>
    <row r="25" spans="1:26" s="88" customFormat="1" x14ac:dyDescent="0.25">
      <c r="A25" s="123" t="s">
        <v>740</v>
      </c>
      <c r="B25" s="84"/>
      <c r="C25" s="85" t="s">
        <v>171</v>
      </c>
      <c r="D25" s="90" t="s">
        <v>1</v>
      </c>
      <c r="E25" s="215">
        <f t="shared" si="0"/>
        <v>260</v>
      </c>
      <c r="F25" s="349">
        <f t="shared" si="1"/>
        <v>21.75</v>
      </c>
      <c r="G25" s="344">
        <f t="shared" si="2"/>
        <v>5655</v>
      </c>
      <c r="H25" s="79" t="s">
        <v>1100</v>
      </c>
      <c r="I25" s="304">
        <v>26.8</v>
      </c>
      <c r="J25" s="334"/>
      <c r="K25" s="334">
        <v>21</v>
      </c>
      <c r="L25" s="335"/>
      <c r="M25" s="334"/>
      <c r="N25" s="335"/>
      <c r="O25" s="335"/>
      <c r="P25" s="335">
        <v>22.5</v>
      </c>
      <c r="Q25" s="91">
        <v>20</v>
      </c>
      <c r="R25" s="303">
        <f t="shared" si="3"/>
        <v>435</v>
      </c>
      <c r="S25" s="72">
        <v>50</v>
      </c>
      <c r="T25" s="299">
        <f t="shared" si="4"/>
        <v>1087.5</v>
      </c>
      <c r="U25" s="92">
        <v>50</v>
      </c>
      <c r="V25" s="290">
        <f t="shared" si="5"/>
        <v>1087.5</v>
      </c>
      <c r="W25" s="93">
        <v>40</v>
      </c>
      <c r="X25" s="282">
        <f t="shared" si="6"/>
        <v>870</v>
      </c>
      <c r="Y25" s="94">
        <v>100</v>
      </c>
      <c r="Z25" s="272">
        <f t="shared" si="7"/>
        <v>2175</v>
      </c>
    </row>
    <row r="26" spans="1:26" s="88" customFormat="1" x14ac:dyDescent="0.25">
      <c r="A26" s="123" t="s">
        <v>742</v>
      </c>
      <c r="B26" s="206"/>
      <c r="C26" s="397" t="s">
        <v>172</v>
      </c>
      <c r="D26" s="398" t="s">
        <v>1</v>
      </c>
      <c r="E26" s="216">
        <f t="shared" si="0"/>
        <v>260</v>
      </c>
      <c r="F26" s="351">
        <f t="shared" si="1"/>
        <v>6.21</v>
      </c>
      <c r="G26" s="345">
        <f t="shared" si="2"/>
        <v>1614.6</v>
      </c>
      <c r="H26" s="208" t="s">
        <v>1100</v>
      </c>
      <c r="I26" s="399">
        <v>13.41</v>
      </c>
      <c r="J26" s="400"/>
      <c r="K26" s="334">
        <v>7.64</v>
      </c>
      <c r="L26" s="335"/>
      <c r="M26" s="334"/>
      <c r="N26" s="335"/>
      <c r="O26" s="335"/>
      <c r="P26" s="335">
        <v>4.78</v>
      </c>
      <c r="Q26" s="91">
        <v>20</v>
      </c>
      <c r="R26" s="303">
        <f t="shared" si="3"/>
        <v>124.2</v>
      </c>
      <c r="S26" s="72">
        <v>50</v>
      </c>
      <c r="T26" s="299">
        <f t="shared" si="4"/>
        <v>310.5</v>
      </c>
      <c r="U26" s="92">
        <v>50</v>
      </c>
      <c r="V26" s="290">
        <f t="shared" si="5"/>
        <v>310.5</v>
      </c>
      <c r="W26" s="93">
        <v>40</v>
      </c>
      <c r="X26" s="282">
        <f t="shared" si="6"/>
        <v>248.4</v>
      </c>
      <c r="Y26" s="94">
        <v>100</v>
      </c>
      <c r="Z26" s="272">
        <f t="shared" si="7"/>
        <v>621</v>
      </c>
    </row>
    <row r="27" spans="1:26" s="6" customFormat="1" ht="45" x14ac:dyDescent="0.25">
      <c r="A27" s="222" t="s">
        <v>743</v>
      </c>
      <c r="B27" s="222">
        <v>13587</v>
      </c>
      <c r="C27" s="239" t="s">
        <v>977</v>
      </c>
      <c r="D27" s="222" t="s">
        <v>237</v>
      </c>
      <c r="E27" s="67">
        <f t="shared" si="0"/>
        <v>0</v>
      </c>
      <c r="F27" s="401">
        <f t="shared" si="1"/>
        <v>2.2799999999999998</v>
      </c>
      <c r="G27" s="304">
        <f t="shared" si="2"/>
        <v>0</v>
      </c>
      <c r="H27" s="222" t="s">
        <v>175</v>
      </c>
      <c r="I27" s="401"/>
      <c r="J27" s="401">
        <v>2.2799999999999998</v>
      </c>
      <c r="K27" s="402"/>
      <c r="L27" s="402"/>
      <c r="M27" s="402"/>
      <c r="N27" s="402"/>
      <c r="O27" s="402"/>
      <c r="P27" s="402"/>
      <c r="R27" s="402"/>
      <c r="T27" s="402"/>
      <c r="V27" s="402"/>
      <c r="X27" s="402"/>
      <c r="Z27" s="402"/>
    </row>
    <row r="28" spans="1:26" s="6" customFormat="1" ht="30" x14ac:dyDescent="0.25">
      <c r="A28" s="222" t="s">
        <v>745</v>
      </c>
      <c r="B28" s="222">
        <v>20205</v>
      </c>
      <c r="C28" s="239" t="s">
        <v>978</v>
      </c>
      <c r="D28" s="222" t="s">
        <v>237</v>
      </c>
      <c r="E28" s="67">
        <f t="shared" si="0"/>
        <v>0</v>
      </c>
      <c r="F28" s="401">
        <f t="shared" si="1"/>
        <v>3.16</v>
      </c>
      <c r="G28" s="304">
        <f t="shared" si="2"/>
        <v>0</v>
      </c>
      <c r="H28" s="222" t="s">
        <v>175</v>
      </c>
      <c r="I28" s="401"/>
      <c r="J28" s="401">
        <v>3.16</v>
      </c>
      <c r="K28" s="402"/>
      <c r="L28" s="402"/>
      <c r="M28" s="402"/>
      <c r="N28" s="402"/>
      <c r="O28" s="402"/>
      <c r="P28" s="402"/>
      <c r="R28" s="402"/>
      <c r="T28" s="402"/>
      <c r="V28" s="402"/>
      <c r="X28" s="402"/>
      <c r="Z28" s="402"/>
    </row>
    <row r="29" spans="1:26" s="6" customFormat="1" ht="30" x14ac:dyDescent="0.25">
      <c r="A29" s="222" t="s">
        <v>746</v>
      </c>
      <c r="B29" s="222">
        <v>4412</v>
      </c>
      <c r="C29" s="239" t="s">
        <v>979</v>
      </c>
      <c r="D29" s="222" t="s">
        <v>237</v>
      </c>
      <c r="E29" s="67">
        <f t="shared" si="0"/>
        <v>0</v>
      </c>
      <c r="F29" s="401">
        <f t="shared" si="1"/>
        <v>2</v>
      </c>
      <c r="G29" s="304">
        <f t="shared" si="2"/>
        <v>0</v>
      </c>
      <c r="H29" s="222" t="s">
        <v>175</v>
      </c>
      <c r="I29" s="401"/>
      <c r="J29" s="401">
        <v>2</v>
      </c>
      <c r="K29" s="402"/>
      <c r="L29" s="402"/>
      <c r="M29" s="402"/>
      <c r="N29" s="402"/>
      <c r="O29" s="402"/>
      <c r="P29" s="402"/>
      <c r="R29" s="402"/>
      <c r="T29" s="402"/>
      <c r="V29" s="402"/>
      <c r="X29" s="402"/>
      <c r="Z29" s="402"/>
    </row>
    <row r="30" spans="1:26" s="6" customFormat="1" ht="30" x14ac:dyDescent="0.25">
      <c r="A30" s="222" t="s">
        <v>748</v>
      </c>
      <c r="B30" s="222">
        <v>4408</v>
      </c>
      <c r="C30" s="239" t="s">
        <v>980</v>
      </c>
      <c r="D30" s="222" t="s">
        <v>237</v>
      </c>
      <c r="E30" s="67">
        <f t="shared" si="0"/>
        <v>0</v>
      </c>
      <c r="F30" s="401">
        <f t="shared" si="1"/>
        <v>2.71</v>
      </c>
      <c r="G30" s="304">
        <f t="shared" si="2"/>
        <v>0</v>
      </c>
      <c r="H30" s="222" t="s">
        <v>175</v>
      </c>
      <c r="I30" s="401"/>
      <c r="J30" s="401">
        <v>2.71</v>
      </c>
      <c r="K30" s="402"/>
      <c r="L30" s="402"/>
      <c r="M30" s="402"/>
      <c r="N30" s="402"/>
      <c r="O30" s="402"/>
      <c r="P30" s="402"/>
      <c r="R30" s="402"/>
      <c r="T30" s="402"/>
      <c r="V30" s="402"/>
      <c r="X30" s="402"/>
      <c r="Z30" s="402"/>
    </row>
    <row r="31" spans="1:26" s="6" customFormat="1" ht="30" x14ac:dyDescent="0.25">
      <c r="A31" s="222" t="s">
        <v>749</v>
      </c>
      <c r="B31" s="222">
        <v>4505</v>
      </c>
      <c r="C31" s="239" t="s">
        <v>981</v>
      </c>
      <c r="D31" s="222" t="s">
        <v>237</v>
      </c>
      <c r="E31" s="67">
        <f t="shared" si="0"/>
        <v>0</v>
      </c>
      <c r="F31" s="401">
        <f t="shared" si="1"/>
        <v>1.32</v>
      </c>
      <c r="G31" s="304">
        <f t="shared" si="2"/>
        <v>0</v>
      </c>
      <c r="H31" s="222" t="s">
        <v>175</v>
      </c>
      <c r="I31" s="401"/>
      <c r="J31" s="401">
        <v>1.32</v>
      </c>
      <c r="K31" s="402"/>
      <c r="L31" s="402"/>
      <c r="M31" s="402"/>
      <c r="N31" s="402"/>
      <c r="O31" s="402"/>
      <c r="P31" s="402"/>
      <c r="R31" s="402"/>
      <c r="T31" s="402"/>
      <c r="V31" s="402"/>
      <c r="X31" s="402"/>
      <c r="Z31" s="402"/>
    </row>
    <row r="32" spans="1:26" s="6" customFormat="1" ht="30" x14ac:dyDescent="0.25">
      <c r="A32" s="222" t="s">
        <v>751</v>
      </c>
      <c r="B32" s="222">
        <v>6188</v>
      </c>
      <c r="C32" s="239" t="s">
        <v>982</v>
      </c>
      <c r="D32" s="222" t="s">
        <v>572</v>
      </c>
      <c r="E32" s="67">
        <f t="shared" si="0"/>
        <v>0</v>
      </c>
      <c r="F32" s="401">
        <f t="shared" si="1"/>
        <v>19.989999999999998</v>
      </c>
      <c r="G32" s="304">
        <f t="shared" si="2"/>
        <v>0</v>
      </c>
      <c r="H32" s="222" t="s">
        <v>175</v>
      </c>
      <c r="I32" s="401"/>
      <c r="J32" s="401">
        <v>19.989999999999998</v>
      </c>
      <c r="K32" s="402"/>
      <c r="L32" s="402"/>
      <c r="M32" s="402"/>
      <c r="N32" s="402"/>
      <c r="O32" s="402"/>
      <c r="P32" s="402"/>
      <c r="R32" s="402"/>
      <c r="T32" s="402"/>
      <c r="V32" s="402"/>
      <c r="X32" s="402"/>
      <c r="Z32" s="402"/>
    </row>
    <row r="33" spans="1:26" s="6" customFormat="1" ht="45" x14ac:dyDescent="0.25">
      <c r="A33" s="222" t="s">
        <v>752</v>
      </c>
      <c r="B33" s="222">
        <v>6178</v>
      </c>
      <c r="C33" s="239" t="s">
        <v>983</v>
      </c>
      <c r="D33" s="222" t="s">
        <v>572</v>
      </c>
      <c r="E33" s="67">
        <f t="shared" si="0"/>
        <v>0</v>
      </c>
      <c r="F33" s="401">
        <f t="shared" si="1"/>
        <v>90.1</v>
      </c>
      <c r="G33" s="304">
        <f t="shared" si="2"/>
        <v>0</v>
      </c>
      <c r="H33" s="222" t="s">
        <v>175</v>
      </c>
      <c r="I33" s="401"/>
      <c r="J33" s="401">
        <v>90.1</v>
      </c>
      <c r="K33" s="402"/>
      <c r="L33" s="402"/>
      <c r="M33" s="402"/>
      <c r="N33" s="402"/>
      <c r="O33" s="402"/>
      <c r="P33" s="402"/>
      <c r="R33" s="402"/>
      <c r="T33" s="402"/>
      <c r="V33" s="402"/>
      <c r="X33" s="402"/>
      <c r="Z33" s="402"/>
    </row>
    <row r="34" spans="1:26" s="6" customFormat="1" ht="45" x14ac:dyDescent="0.25">
      <c r="A34" s="222" t="s">
        <v>754</v>
      </c>
      <c r="B34" s="222">
        <v>6180</v>
      </c>
      <c r="C34" s="239" t="s">
        <v>984</v>
      </c>
      <c r="D34" s="222" t="s">
        <v>572</v>
      </c>
      <c r="E34" s="67">
        <f t="shared" si="0"/>
        <v>0</v>
      </c>
      <c r="F34" s="401">
        <f t="shared" si="1"/>
        <v>97.25</v>
      </c>
      <c r="G34" s="304">
        <f t="shared" si="2"/>
        <v>0</v>
      </c>
      <c r="H34" s="222" t="s">
        <v>175</v>
      </c>
      <c r="I34" s="401"/>
      <c r="J34" s="401">
        <v>97.25</v>
      </c>
      <c r="K34" s="402"/>
      <c r="L34" s="402"/>
      <c r="M34" s="402"/>
      <c r="N34" s="402"/>
      <c r="O34" s="402"/>
      <c r="P34" s="402"/>
      <c r="R34" s="402"/>
      <c r="T34" s="402"/>
      <c r="V34" s="402"/>
      <c r="X34" s="402"/>
      <c r="Z34" s="402"/>
    </row>
    <row r="35" spans="1:26" s="6" customFormat="1" ht="45" x14ac:dyDescent="0.25">
      <c r="A35" s="222" t="s">
        <v>755</v>
      </c>
      <c r="B35" s="222">
        <v>6182</v>
      </c>
      <c r="C35" s="239" t="s">
        <v>985</v>
      </c>
      <c r="D35" s="222" t="s">
        <v>572</v>
      </c>
      <c r="E35" s="67">
        <f t="shared" si="0"/>
        <v>0</v>
      </c>
      <c r="F35" s="401">
        <f t="shared" si="1"/>
        <v>120.71</v>
      </c>
      <c r="G35" s="304">
        <f t="shared" si="2"/>
        <v>0</v>
      </c>
      <c r="H35" s="222" t="s">
        <v>175</v>
      </c>
      <c r="I35" s="401"/>
      <c r="J35" s="401">
        <v>120.71</v>
      </c>
      <c r="K35" s="402"/>
      <c r="L35" s="402"/>
      <c r="M35" s="402"/>
      <c r="N35" s="402"/>
      <c r="O35" s="402"/>
      <c r="P35" s="402"/>
      <c r="R35" s="402"/>
      <c r="T35" s="402"/>
      <c r="V35" s="402"/>
      <c r="X35" s="402"/>
      <c r="Z35" s="402"/>
    </row>
    <row r="36" spans="1:26" s="6" customFormat="1" ht="30" x14ac:dyDescent="0.25">
      <c r="A36" s="222" t="s">
        <v>757</v>
      </c>
      <c r="B36" s="222">
        <v>3993</v>
      </c>
      <c r="C36" s="239" t="s">
        <v>986</v>
      </c>
      <c r="D36" s="222" t="s">
        <v>572</v>
      </c>
      <c r="E36" s="67">
        <f t="shared" si="0"/>
        <v>0</v>
      </c>
      <c r="F36" s="401">
        <f t="shared" si="1"/>
        <v>121.48</v>
      </c>
      <c r="G36" s="304">
        <f t="shared" si="2"/>
        <v>0</v>
      </c>
      <c r="H36" s="222" t="s">
        <v>175</v>
      </c>
      <c r="I36" s="401"/>
      <c r="J36" s="401">
        <v>121.48</v>
      </c>
      <c r="K36" s="402"/>
      <c r="L36" s="402"/>
      <c r="M36" s="402"/>
      <c r="N36" s="402"/>
      <c r="O36" s="402"/>
      <c r="P36" s="402"/>
      <c r="R36" s="402"/>
      <c r="T36" s="402"/>
      <c r="V36" s="402"/>
      <c r="X36" s="402"/>
      <c r="Z36" s="402"/>
    </row>
    <row r="37" spans="1:26" s="6" customFormat="1" ht="30" x14ac:dyDescent="0.25">
      <c r="A37" s="222" t="s">
        <v>758</v>
      </c>
      <c r="B37" s="222">
        <v>3990</v>
      </c>
      <c r="C37" s="239" t="s">
        <v>987</v>
      </c>
      <c r="D37" s="222" t="s">
        <v>237</v>
      </c>
      <c r="E37" s="67">
        <f t="shared" si="0"/>
        <v>0</v>
      </c>
      <c r="F37" s="401">
        <f t="shared" si="1"/>
        <v>26.84</v>
      </c>
      <c r="G37" s="304">
        <f t="shared" si="2"/>
        <v>0</v>
      </c>
      <c r="H37" s="222" t="s">
        <v>175</v>
      </c>
      <c r="I37" s="401"/>
      <c r="J37" s="401">
        <v>26.84</v>
      </c>
      <c r="K37" s="402"/>
      <c r="L37" s="402"/>
      <c r="M37" s="402"/>
      <c r="N37" s="402"/>
      <c r="O37" s="402"/>
      <c r="P37" s="402"/>
      <c r="R37" s="402"/>
      <c r="T37" s="402"/>
      <c r="V37" s="402"/>
      <c r="X37" s="402"/>
      <c r="Z37" s="402"/>
    </row>
    <row r="38" spans="1:26" s="6" customFormat="1" ht="30" x14ac:dyDescent="0.25">
      <c r="A38" s="222" t="s">
        <v>760</v>
      </c>
      <c r="B38" s="222">
        <v>3992</v>
      </c>
      <c r="C38" s="239" t="s">
        <v>988</v>
      </c>
      <c r="D38" s="222" t="s">
        <v>237</v>
      </c>
      <c r="E38" s="67">
        <f t="shared" si="0"/>
        <v>0</v>
      </c>
      <c r="F38" s="401">
        <f t="shared" si="1"/>
        <v>32.96</v>
      </c>
      <c r="G38" s="304">
        <f t="shared" si="2"/>
        <v>0</v>
      </c>
      <c r="H38" s="222" t="s">
        <v>175</v>
      </c>
      <c r="I38" s="401"/>
      <c r="J38" s="401">
        <v>32.96</v>
      </c>
      <c r="K38" s="402"/>
      <c r="L38" s="402"/>
      <c r="M38" s="402"/>
      <c r="N38" s="402"/>
      <c r="O38" s="402"/>
      <c r="P38" s="402"/>
      <c r="R38" s="402"/>
      <c r="T38" s="402"/>
      <c r="V38" s="402"/>
      <c r="X38" s="402"/>
      <c r="Z38" s="402"/>
    </row>
    <row r="39" spans="1:26" s="6" customFormat="1" ht="30" x14ac:dyDescent="0.25">
      <c r="A39" s="222" t="s">
        <v>761</v>
      </c>
      <c r="B39" s="222">
        <v>4509</v>
      </c>
      <c r="C39" s="239" t="s">
        <v>989</v>
      </c>
      <c r="D39" s="222" t="s">
        <v>237</v>
      </c>
      <c r="E39" s="67">
        <f t="shared" si="0"/>
        <v>0</v>
      </c>
      <c r="F39" s="401">
        <f t="shared" si="1"/>
        <v>1.62</v>
      </c>
      <c r="G39" s="304">
        <f t="shared" si="2"/>
        <v>0</v>
      </c>
      <c r="H39" s="222" t="s">
        <v>175</v>
      </c>
      <c r="I39" s="401"/>
      <c r="J39" s="401">
        <v>1.62</v>
      </c>
      <c r="K39" s="402"/>
      <c r="L39" s="402"/>
      <c r="M39" s="402"/>
      <c r="N39" s="402"/>
      <c r="O39" s="402"/>
      <c r="P39" s="402"/>
      <c r="R39" s="402"/>
      <c r="T39" s="402"/>
      <c r="V39" s="402"/>
      <c r="X39" s="402"/>
      <c r="Z39" s="402"/>
    </row>
    <row r="40" spans="1:26" s="6" customFormat="1" ht="30" x14ac:dyDescent="0.25">
      <c r="A40" s="222" t="s">
        <v>763</v>
      </c>
      <c r="B40" s="222">
        <v>6194</v>
      </c>
      <c r="C40" s="239" t="s">
        <v>990</v>
      </c>
      <c r="D40" s="222" t="s">
        <v>237</v>
      </c>
      <c r="E40" s="67">
        <f t="shared" si="0"/>
        <v>0</v>
      </c>
      <c r="F40" s="401">
        <f t="shared" si="1"/>
        <v>2.21</v>
      </c>
      <c r="G40" s="304">
        <f t="shared" si="2"/>
        <v>0</v>
      </c>
      <c r="H40" s="222" t="s">
        <v>175</v>
      </c>
      <c r="I40" s="401"/>
      <c r="J40" s="401">
        <v>2.21</v>
      </c>
      <c r="K40" s="402"/>
      <c r="L40" s="402"/>
      <c r="M40" s="402"/>
      <c r="N40" s="402"/>
      <c r="O40" s="402"/>
      <c r="P40" s="402"/>
      <c r="R40" s="402"/>
      <c r="T40" s="402"/>
      <c r="V40" s="402"/>
      <c r="X40" s="402"/>
      <c r="Z40" s="402"/>
    </row>
    <row r="41" spans="1:26" s="6" customFormat="1" ht="30" x14ac:dyDescent="0.25">
      <c r="A41" s="222" t="s">
        <v>764</v>
      </c>
      <c r="B41" s="222">
        <v>6193</v>
      </c>
      <c r="C41" s="239" t="s">
        <v>991</v>
      </c>
      <c r="D41" s="222" t="s">
        <v>237</v>
      </c>
      <c r="E41" s="67">
        <f t="shared" si="0"/>
        <v>0</v>
      </c>
      <c r="F41" s="401">
        <f t="shared" si="1"/>
        <v>12.79</v>
      </c>
      <c r="G41" s="304">
        <f t="shared" si="2"/>
        <v>0</v>
      </c>
      <c r="H41" s="222" t="s">
        <v>175</v>
      </c>
      <c r="I41" s="401"/>
      <c r="J41" s="401">
        <v>12.79</v>
      </c>
      <c r="K41" s="402"/>
      <c r="L41" s="402"/>
      <c r="M41" s="402"/>
      <c r="N41" s="402"/>
      <c r="O41" s="402"/>
      <c r="P41" s="402"/>
      <c r="R41" s="402"/>
      <c r="T41" s="402"/>
      <c r="V41" s="402"/>
      <c r="X41" s="402"/>
      <c r="Z41" s="402"/>
    </row>
    <row r="42" spans="1:26" s="6" customFormat="1" ht="30" x14ac:dyDescent="0.25">
      <c r="A42" s="222" t="s">
        <v>766</v>
      </c>
      <c r="B42" s="222">
        <v>10567</v>
      </c>
      <c r="C42" s="239" t="s">
        <v>992</v>
      </c>
      <c r="D42" s="222" t="s">
        <v>237</v>
      </c>
      <c r="E42" s="67">
        <f t="shared" si="0"/>
        <v>0</v>
      </c>
      <c r="F42" s="401">
        <f t="shared" si="1"/>
        <v>3.66</v>
      </c>
      <c r="G42" s="304">
        <f t="shared" si="2"/>
        <v>0</v>
      </c>
      <c r="H42" s="222" t="s">
        <v>175</v>
      </c>
      <c r="I42" s="401"/>
      <c r="J42" s="401">
        <v>3.66</v>
      </c>
      <c r="K42" s="402"/>
      <c r="L42" s="402"/>
      <c r="M42" s="402"/>
      <c r="N42" s="402"/>
      <c r="O42" s="402"/>
      <c r="P42" s="402"/>
      <c r="R42" s="402"/>
      <c r="T42" s="402"/>
      <c r="V42" s="402"/>
      <c r="X42" s="402"/>
      <c r="Z42" s="402"/>
    </row>
    <row r="43" spans="1:26" s="6" customFormat="1" ht="30" x14ac:dyDescent="0.25">
      <c r="A43" s="222" t="s">
        <v>767</v>
      </c>
      <c r="B43" s="222">
        <v>6212</v>
      </c>
      <c r="C43" s="239" t="s">
        <v>982</v>
      </c>
      <c r="D43" s="222" t="s">
        <v>237</v>
      </c>
      <c r="E43" s="67">
        <f t="shared" si="0"/>
        <v>0</v>
      </c>
      <c r="F43" s="401">
        <f t="shared" si="1"/>
        <v>6</v>
      </c>
      <c r="G43" s="304">
        <f t="shared" si="2"/>
        <v>0</v>
      </c>
      <c r="H43" s="222" t="s">
        <v>175</v>
      </c>
      <c r="I43" s="401"/>
      <c r="J43" s="401">
        <v>6</v>
      </c>
      <c r="K43" s="402"/>
      <c r="L43" s="402"/>
      <c r="M43" s="402"/>
      <c r="N43" s="402"/>
      <c r="O43" s="402"/>
      <c r="P43" s="402"/>
      <c r="R43" s="402"/>
      <c r="T43" s="402"/>
      <c r="V43" s="402"/>
      <c r="X43" s="402"/>
      <c r="Z43" s="402"/>
    </row>
    <row r="44" spans="1:26" s="6" customFormat="1" ht="30" x14ac:dyDescent="0.25">
      <c r="A44" s="222" t="s">
        <v>769</v>
      </c>
      <c r="B44" s="222">
        <v>6189</v>
      </c>
      <c r="C44" s="239" t="s">
        <v>993</v>
      </c>
      <c r="D44" s="222" t="s">
        <v>237</v>
      </c>
      <c r="E44" s="67">
        <f t="shared" si="0"/>
        <v>0</v>
      </c>
      <c r="F44" s="401">
        <f t="shared" si="1"/>
        <v>18.71</v>
      </c>
      <c r="G44" s="304">
        <f t="shared" si="2"/>
        <v>0</v>
      </c>
      <c r="H44" s="222" t="s">
        <v>175</v>
      </c>
      <c r="I44" s="401"/>
      <c r="J44" s="401">
        <v>18.71</v>
      </c>
      <c r="K44" s="402"/>
      <c r="L44" s="402"/>
      <c r="M44" s="402"/>
      <c r="N44" s="402"/>
      <c r="O44" s="402"/>
      <c r="P44" s="402"/>
      <c r="R44" s="402"/>
      <c r="T44" s="402"/>
      <c r="V44" s="402"/>
      <c r="X44" s="402"/>
      <c r="Z44" s="402"/>
    </row>
    <row r="45" spans="1:26" s="6" customFormat="1" ht="45" x14ac:dyDescent="0.25">
      <c r="A45" s="222" t="s">
        <v>770</v>
      </c>
      <c r="B45" s="222">
        <v>3286</v>
      </c>
      <c r="C45" s="239" t="s">
        <v>996</v>
      </c>
      <c r="D45" s="222" t="s">
        <v>572</v>
      </c>
      <c r="E45" s="67">
        <f t="shared" si="0"/>
        <v>0</v>
      </c>
      <c r="F45" s="401">
        <f t="shared" si="1"/>
        <v>50.02</v>
      </c>
      <c r="G45" s="304">
        <f t="shared" si="2"/>
        <v>0</v>
      </c>
      <c r="H45" s="222" t="s">
        <v>175</v>
      </c>
      <c r="I45" s="401"/>
      <c r="J45" s="401">
        <v>50.02</v>
      </c>
      <c r="K45" s="402"/>
      <c r="L45" s="402"/>
      <c r="M45" s="402"/>
      <c r="N45" s="402"/>
      <c r="O45" s="402"/>
      <c r="P45" s="402"/>
      <c r="R45" s="402"/>
      <c r="T45" s="402"/>
      <c r="V45" s="402"/>
      <c r="X45" s="402"/>
      <c r="Z45" s="402"/>
    </row>
    <row r="46" spans="1:26" s="6" customFormat="1" ht="45" x14ac:dyDescent="0.25">
      <c r="A46" s="222" t="s">
        <v>772</v>
      </c>
      <c r="B46" s="222">
        <v>3287</v>
      </c>
      <c r="C46" s="239" t="s">
        <v>997</v>
      </c>
      <c r="D46" s="222" t="s">
        <v>572</v>
      </c>
      <c r="E46" s="67">
        <f t="shared" si="0"/>
        <v>0</v>
      </c>
      <c r="F46" s="401">
        <f t="shared" si="1"/>
        <v>75.599999999999994</v>
      </c>
      <c r="G46" s="304">
        <f t="shared" si="2"/>
        <v>0</v>
      </c>
      <c r="H46" s="222" t="s">
        <v>175</v>
      </c>
      <c r="I46" s="401"/>
      <c r="J46" s="401">
        <v>75.599999999999994</v>
      </c>
      <c r="K46" s="402"/>
      <c r="L46" s="402"/>
      <c r="M46" s="402"/>
      <c r="N46" s="402"/>
      <c r="O46" s="402"/>
      <c r="P46" s="402"/>
      <c r="R46" s="402"/>
      <c r="T46" s="402"/>
      <c r="V46" s="402"/>
      <c r="X46" s="402"/>
      <c r="Z46" s="402"/>
    </row>
    <row r="47" spans="1:26" s="6" customFormat="1" ht="45" x14ac:dyDescent="0.25">
      <c r="A47" s="222" t="s">
        <v>773</v>
      </c>
      <c r="B47" s="222">
        <v>3283</v>
      </c>
      <c r="C47" s="239" t="s">
        <v>998</v>
      </c>
      <c r="D47" s="222" t="s">
        <v>572</v>
      </c>
      <c r="E47" s="67">
        <f t="shared" si="0"/>
        <v>0</v>
      </c>
      <c r="F47" s="401">
        <f t="shared" si="1"/>
        <v>15.88</v>
      </c>
      <c r="G47" s="304">
        <f t="shared" si="2"/>
        <v>0</v>
      </c>
      <c r="H47" s="222" t="s">
        <v>175</v>
      </c>
      <c r="I47" s="401"/>
      <c r="J47" s="401">
        <v>15.88</v>
      </c>
      <c r="K47" s="402"/>
      <c r="L47" s="402"/>
      <c r="M47" s="402"/>
      <c r="N47" s="402"/>
      <c r="O47" s="402"/>
      <c r="P47" s="402"/>
      <c r="R47" s="402"/>
      <c r="T47" s="402"/>
      <c r="V47" s="402"/>
      <c r="X47" s="402"/>
      <c r="Z47" s="402"/>
    </row>
    <row r="48" spans="1:26" s="6" customFormat="1" x14ac:dyDescent="0.25">
      <c r="A48" s="190"/>
      <c r="B48" s="190"/>
      <c r="C48" s="191" t="s">
        <v>1172</v>
      </c>
      <c r="D48" s="192"/>
      <c r="E48" s="193"/>
      <c r="F48" s="325"/>
      <c r="G48" s="301">
        <f>SUM(G5:G47)</f>
        <v>120415.90000000001</v>
      </c>
      <c r="H48" s="225"/>
      <c r="I48" s="325"/>
      <c r="J48" s="325"/>
      <c r="K48" s="325"/>
      <c r="L48" s="325"/>
      <c r="M48" s="325" t="s">
        <v>1177</v>
      </c>
      <c r="N48" s="325"/>
      <c r="O48" s="325"/>
      <c r="P48" s="325"/>
      <c r="Q48" s="190"/>
      <c r="R48" s="303">
        <f>SUM(R5:R47)</f>
        <v>4095.2166666666667</v>
      </c>
      <c r="S48" s="196"/>
      <c r="T48" s="303">
        <f>SUM(T5:T47)</f>
        <v>14201.583333333332</v>
      </c>
      <c r="U48" s="197"/>
      <c r="V48" s="303">
        <f>SUM(V5:V47)</f>
        <v>25948.233333333334</v>
      </c>
      <c r="W48" s="197"/>
      <c r="X48" s="303">
        <f>SUM(X5:X47)</f>
        <v>48450.816666666673</v>
      </c>
      <c r="Y48" s="197"/>
      <c r="Z48" s="303">
        <f>SUM(Z5:Z47)</f>
        <v>27720.05</v>
      </c>
    </row>
    <row r="49" spans="1:26" s="6" customFormat="1" x14ac:dyDescent="0.25">
      <c r="A49" s="55"/>
      <c r="B49" s="55"/>
      <c r="C49" s="194" t="s">
        <v>1109</v>
      </c>
      <c r="D49" s="55">
        <f>COUNTA(A5:A47)</f>
        <v>43</v>
      </c>
      <c r="E49" s="195"/>
      <c r="F49" s="301"/>
      <c r="G49" s="278"/>
      <c r="H49" s="152"/>
      <c r="I49" s="326"/>
      <c r="J49" s="326"/>
      <c r="K49" s="326"/>
      <c r="L49" s="327"/>
      <c r="M49" s="327"/>
      <c r="N49" s="327"/>
      <c r="O49" s="327"/>
      <c r="P49" s="327"/>
      <c r="Q49" s="196"/>
      <c r="R49" s="303"/>
      <c r="S49" s="196"/>
      <c r="T49" s="262"/>
      <c r="U49" s="197"/>
      <c r="V49" s="262"/>
      <c r="W49" s="197"/>
      <c r="X49" s="262"/>
      <c r="Y49" s="197"/>
      <c r="Z49" s="262"/>
    </row>
    <row r="50" spans="1:26" x14ac:dyDescent="0.25">
      <c r="D50"/>
      <c r="E50"/>
      <c r="F50" s="122"/>
      <c r="G50" s="122"/>
      <c r="I50" s="122"/>
      <c r="J50" s="122"/>
      <c r="K50" s="122"/>
      <c r="L50" s="122"/>
      <c r="M50" s="122"/>
      <c r="N50" s="122"/>
      <c r="O50" s="122"/>
      <c r="P50" s="122"/>
      <c r="R50" s="122"/>
      <c r="T50" s="122"/>
      <c r="V50" s="122"/>
      <c r="X50" s="122"/>
      <c r="Z50" s="122"/>
    </row>
    <row r="51" spans="1:26" x14ac:dyDescent="0.25">
      <c r="D51"/>
      <c r="E51"/>
      <c r="F51" s="122"/>
      <c r="G51" s="122"/>
      <c r="I51" s="122"/>
      <c r="J51" s="122"/>
      <c r="K51" s="122"/>
      <c r="L51" s="122"/>
      <c r="M51" s="122"/>
      <c r="N51" s="122"/>
      <c r="O51" s="122"/>
      <c r="P51" s="122"/>
      <c r="R51" s="122"/>
      <c r="T51" s="122"/>
      <c r="V51" s="122"/>
      <c r="X51" s="122"/>
      <c r="Z51" s="122"/>
    </row>
  </sheetData>
  <mergeCells count="4">
    <mergeCell ref="A1:Z1"/>
    <mergeCell ref="A2:H2"/>
    <mergeCell ref="I2:P2"/>
    <mergeCell ref="Q2:Z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topLeftCell="E1" zoomScaleNormal="100" workbookViewId="0">
      <pane ySplit="1" topLeftCell="A32" activePane="bottomLeft" state="frozen"/>
      <selection activeCell="E1" sqref="E1"/>
      <selection pane="bottomLeft" activeCell="D45" sqref="A45:XFD46"/>
    </sheetView>
  </sheetViews>
  <sheetFormatPr defaultRowHeight="15" x14ac:dyDescent="0.25"/>
  <cols>
    <col min="1" max="1" width="9.140625" customWidth="1"/>
    <col min="3" max="3" width="55.140625" customWidth="1"/>
    <col min="4" max="4" width="9.140625" style="149"/>
    <col min="5" max="5" width="9.140625" style="151"/>
    <col min="6" max="6" width="9.140625" style="270"/>
    <col min="7" max="7" width="10.140625" style="270" bestFit="1" customWidth="1"/>
    <col min="9" max="9" width="10" style="270" customWidth="1"/>
    <col min="10" max="14" width="9.140625" style="270" customWidth="1"/>
    <col min="15" max="15" width="10.140625" style="270" customWidth="1"/>
    <col min="16" max="16" width="9.140625" style="270" customWidth="1"/>
    <col min="17" max="17" width="10.85546875" customWidth="1"/>
    <col min="18" max="18" width="11.42578125" style="270" bestFit="1" customWidth="1"/>
    <col min="20" max="20" width="11" style="270" bestFit="1" customWidth="1"/>
    <col min="21" max="21" width="9.85546875" bestFit="1" customWidth="1"/>
    <col min="22" max="22" width="11" style="270" bestFit="1" customWidth="1"/>
    <col min="23" max="23" width="11.140625" bestFit="1" customWidth="1"/>
    <col min="24" max="24" width="11" style="270" bestFit="1" customWidth="1"/>
    <col min="25" max="25" width="9.85546875" bestFit="1" customWidth="1"/>
    <col min="26" max="26" width="11" style="270" bestFit="1" customWidth="1"/>
  </cols>
  <sheetData>
    <row r="1" spans="1:28" s="353" customFormat="1" ht="64.5" customHeight="1" x14ac:dyDescent="0.25">
      <c r="A1" s="426" t="s">
        <v>1372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spans="1:28" s="6" customFormat="1" ht="15.75" x14ac:dyDescent="0.25">
      <c r="A2" s="427" t="s">
        <v>1376</v>
      </c>
      <c r="B2" s="428"/>
      <c r="C2" s="428"/>
      <c r="D2" s="428"/>
      <c r="E2" s="428"/>
      <c r="F2" s="428"/>
      <c r="G2" s="428"/>
      <c r="H2" s="428"/>
      <c r="I2" s="429" t="s">
        <v>1375</v>
      </c>
      <c r="J2" s="429"/>
      <c r="K2" s="429"/>
      <c r="L2" s="429"/>
      <c r="M2" s="429"/>
      <c r="N2" s="429"/>
      <c r="O2" s="429"/>
      <c r="P2" s="430"/>
      <c r="Q2" s="431" t="s">
        <v>1374</v>
      </c>
      <c r="R2" s="432"/>
      <c r="S2" s="432"/>
      <c r="T2" s="432"/>
      <c r="U2" s="432"/>
      <c r="V2" s="432"/>
      <c r="W2" s="432"/>
      <c r="X2" s="432"/>
      <c r="Y2" s="432"/>
      <c r="Z2" s="432"/>
    </row>
    <row r="3" spans="1:28" s="6" customFormat="1" ht="15.75" thickBot="1" x14ac:dyDescent="0.3">
      <c r="A3" s="217"/>
      <c r="B3" s="217"/>
      <c r="C3" s="217" t="s">
        <v>1174</v>
      </c>
      <c r="D3" s="218"/>
      <c r="E3" s="219"/>
      <c r="F3" s="267"/>
      <c r="G3" s="267"/>
      <c r="H3" s="220"/>
      <c r="I3" s="310"/>
      <c r="J3" s="311" t="s">
        <v>215</v>
      </c>
      <c r="K3" s="312"/>
      <c r="L3" s="312"/>
      <c r="M3" s="312"/>
      <c r="N3" s="312"/>
      <c r="O3" s="312"/>
      <c r="P3" s="313"/>
      <c r="Q3" s="220"/>
      <c r="R3" s="267"/>
      <c r="S3" s="221" t="s">
        <v>1383</v>
      </c>
      <c r="T3" s="267"/>
      <c r="U3" s="220"/>
      <c r="V3" s="267"/>
      <c r="W3" s="220"/>
      <c r="X3" s="267"/>
      <c r="Y3" s="220"/>
      <c r="Z3" s="267"/>
    </row>
    <row r="4" spans="1:28" s="6" customFormat="1" ht="45" x14ac:dyDescent="0.25">
      <c r="A4" s="54" t="s">
        <v>0</v>
      </c>
      <c r="B4" s="54" t="s">
        <v>1095</v>
      </c>
      <c r="C4" s="17" t="s">
        <v>224</v>
      </c>
      <c r="D4" s="24" t="s">
        <v>225</v>
      </c>
      <c r="E4" s="19" t="s">
        <v>2</v>
      </c>
      <c r="F4" s="342" t="s">
        <v>227</v>
      </c>
      <c r="G4" s="342" t="s">
        <v>217</v>
      </c>
      <c r="H4" s="176" t="s">
        <v>226</v>
      </c>
      <c r="I4" s="314" t="s">
        <v>173</v>
      </c>
      <c r="J4" s="315" t="s">
        <v>175</v>
      </c>
      <c r="K4" s="316" t="s">
        <v>196</v>
      </c>
      <c r="L4" s="316" t="s">
        <v>182</v>
      </c>
      <c r="M4" s="315" t="s">
        <v>193</v>
      </c>
      <c r="N4" s="317" t="s">
        <v>208</v>
      </c>
      <c r="O4" s="317" t="s">
        <v>209</v>
      </c>
      <c r="P4" s="317" t="s">
        <v>216</v>
      </c>
      <c r="Q4" s="162" t="s">
        <v>1108</v>
      </c>
      <c r="R4" s="266" t="s">
        <v>1099</v>
      </c>
      <c r="S4" s="172" t="s">
        <v>1107</v>
      </c>
      <c r="T4" s="265" t="s">
        <v>1099</v>
      </c>
      <c r="U4" s="163" t="s">
        <v>1106</v>
      </c>
      <c r="V4" s="264" t="s">
        <v>1099</v>
      </c>
      <c r="W4" s="164" t="s">
        <v>1105</v>
      </c>
      <c r="X4" s="263" t="s">
        <v>1099</v>
      </c>
      <c r="Y4" s="165" t="s">
        <v>1104</v>
      </c>
      <c r="Z4" s="261" t="s">
        <v>1099</v>
      </c>
    </row>
    <row r="5" spans="1:28" x14ac:dyDescent="0.25">
      <c r="A5" t="s">
        <v>1384</v>
      </c>
      <c r="B5">
        <v>38381</v>
      </c>
      <c r="C5" s="121" t="s">
        <v>1086</v>
      </c>
      <c r="D5" s="24" t="s">
        <v>225</v>
      </c>
      <c r="E5" s="69">
        <f t="shared" ref="E5:E44" si="0">Q5+S5+U5+W5+Y5</f>
        <v>0</v>
      </c>
      <c r="F5" s="348">
        <f t="shared" ref="F5:F44" si="1">IF(H5="SINAPI",J5,AVERAGE(J5:P5))</f>
        <v>0</v>
      </c>
      <c r="G5" s="344">
        <f t="shared" ref="G5:G44" si="2">R5+T5+V5+X5+Z5</f>
        <v>0</v>
      </c>
      <c r="H5" t="s">
        <v>175</v>
      </c>
    </row>
    <row r="6" spans="1:28" x14ac:dyDescent="0.25">
      <c r="A6" t="s">
        <v>1385</v>
      </c>
      <c r="B6" s="234"/>
      <c r="C6" s="14" t="s">
        <v>3</v>
      </c>
      <c r="D6" s="24" t="s">
        <v>225</v>
      </c>
      <c r="E6" s="69">
        <f t="shared" si="0"/>
        <v>120</v>
      </c>
      <c r="F6" s="348">
        <f t="shared" si="1"/>
        <v>5.1349999999999998</v>
      </c>
      <c r="G6" s="344">
        <f t="shared" si="2"/>
        <v>616.20000000000005</v>
      </c>
      <c r="H6" s="64" t="s">
        <v>1100</v>
      </c>
      <c r="I6" s="338">
        <v>5.87</v>
      </c>
      <c r="J6" s="328">
        <v>3.94</v>
      </c>
      <c r="K6" s="328">
        <v>5.7</v>
      </c>
      <c r="L6" s="328"/>
      <c r="M6" s="328"/>
      <c r="N6" s="328"/>
      <c r="O6" s="328">
        <v>5.9</v>
      </c>
      <c r="P6" s="328">
        <v>5</v>
      </c>
      <c r="Q6" s="255">
        <v>10</v>
      </c>
      <c r="R6" s="308">
        <f>$F6*Q6</f>
        <v>51.349999999999994</v>
      </c>
      <c r="S6" s="256">
        <v>50</v>
      </c>
      <c r="T6" s="301">
        <f>$F6*S6</f>
        <v>256.75</v>
      </c>
      <c r="U6" s="257">
        <v>20</v>
      </c>
      <c r="V6" s="296">
        <f>$F6*U6</f>
        <v>102.69999999999999</v>
      </c>
      <c r="W6" s="247">
        <v>20</v>
      </c>
      <c r="X6" s="287">
        <f>$F6*W6</f>
        <v>102.69999999999999</v>
      </c>
      <c r="Y6" s="260">
        <v>20</v>
      </c>
      <c r="Z6" s="279">
        <f>$F6*Y6</f>
        <v>102.69999999999999</v>
      </c>
      <c r="AA6" s="6"/>
      <c r="AB6" s="6"/>
    </row>
    <row r="7" spans="1:28" x14ac:dyDescent="0.25">
      <c r="A7" t="s">
        <v>1386</v>
      </c>
      <c r="B7" s="118"/>
      <c r="C7" s="236" t="s">
        <v>4</v>
      </c>
      <c r="D7" s="24" t="s">
        <v>225</v>
      </c>
      <c r="E7" s="69">
        <f t="shared" si="0"/>
        <v>90</v>
      </c>
      <c r="F7" s="348">
        <f t="shared" si="1"/>
        <v>6.1533333333333333</v>
      </c>
      <c r="G7" s="344">
        <f t="shared" si="2"/>
        <v>553.79999999999995</v>
      </c>
      <c r="H7" s="64" t="s">
        <v>1100</v>
      </c>
      <c r="I7" s="338">
        <v>9.25</v>
      </c>
      <c r="J7" s="328"/>
      <c r="K7" s="328">
        <v>6.37</v>
      </c>
      <c r="L7" s="328">
        <v>3.59</v>
      </c>
      <c r="M7" s="328"/>
      <c r="N7" s="328"/>
      <c r="O7" s="328"/>
      <c r="P7" s="328">
        <v>8.5</v>
      </c>
      <c r="Q7" s="255">
        <v>5</v>
      </c>
      <c r="R7" s="308">
        <f>$F7*Q7</f>
        <v>30.766666666666666</v>
      </c>
      <c r="S7" s="256">
        <v>50</v>
      </c>
      <c r="T7" s="301">
        <f>$F7*S7</f>
        <v>307.66666666666669</v>
      </c>
      <c r="U7" s="257">
        <v>5</v>
      </c>
      <c r="V7" s="296">
        <f>$F7*U7</f>
        <v>30.766666666666666</v>
      </c>
      <c r="W7" s="247">
        <v>10</v>
      </c>
      <c r="X7" s="287">
        <f>$F7*W7</f>
        <v>61.533333333333331</v>
      </c>
      <c r="Y7" s="260">
        <v>20</v>
      </c>
      <c r="Z7" s="279">
        <f>$F7*Y7</f>
        <v>123.06666666666666</v>
      </c>
      <c r="AA7" s="6"/>
      <c r="AB7" s="6"/>
    </row>
    <row r="8" spans="1:28" x14ac:dyDescent="0.25">
      <c r="A8" t="s">
        <v>1387</v>
      </c>
      <c r="B8" s="118"/>
      <c r="C8" s="236" t="s">
        <v>5</v>
      </c>
      <c r="D8" s="24" t="s">
        <v>225</v>
      </c>
      <c r="E8" s="69">
        <f t="shared" si="0"/>
        <v>105</v>
      </c>
      <c r="F8" s="348">
        <f t="shared" si="1"/>
        <v>7.2080000000000011</v>
      </c>
      <c r="G8" s="344">
        <f t="shared" si="2"/>
        <v>756.84000000000015</v>
      </c>
      <c r="H8" s="64" t="s">
        <v>1100</v>
      </c>
      <c r="I8" s="338">
        <v>12.31</v>
      </c>
      <c r="J8" s="328"/>
      <c r="K8" s="328">
        <v>8.93</v>
      </c>
      <c r="L8" s="328">
        <v>8.99</v>
      </c>
      <c r="M8" s="328">
        <v>4.62</v>
      </c>
      <c r="N8" s="328">
        <v>5</v>
      </c>
      <c r="O8" s="328"/>
      <c r="P8" s="328">
        <v>8.5</v>
      </c>
      <c r="Q8" s="255">
        <v>5</v>
      </c>
      <c r="R8" s="308">
        <f>$F8*Q8</f>
        <v>36.040000000000006</v>
      </c>
      <c r="S8" s="256">
        <v>50</v>
      </c>
      <c r="T8" s="301">
        <f>$F8*S8</f>
        <v>360.40000000000003</v>
      </c>
      <c r="U8" s="257">
        <v>5</v>
      </c>
      <c r="V8" s="296">
        <f>$F8*U8</f>
        <v>36.040000000000006</v>
      </c>
      <c r="W8" s="247">
        <v>15</v>
      </c>
      <c r="X8" s="287">
        <f>$F8*W8</f>
        <v>108.12000000000002</v>
      </c>
      <c r="Y8" s="260">
        <v>30</v>
      </c>
      <c r="Z8" s="279">
        <f>$F8*Y8</f>
        <v>216.24000000000004</v>
      </c>
      <c r="AA8" s="6"/>
      <c r="AB8" s="6"/>
    </row>
    <row r="9" spans="1:28" x14ac:dyDescent="0.25">
      <c r="A9" t="s">
        <v>1388</v>
      </c>
      <c r="B9">
        <v>11161</v>
      </c>
      <c r="C9" s="121" t="s">
        <v>1087</v>
      </c>
      <c r="D9" s="24" t="s">
        <v>225</v>
      </c>
      <c r="E9" s="69">
        <f t="shared" si="0"/>
        <v>0</v>
      </c>
      <c r="F9" s="348">
        <f t="shared" si="1"/>
        <v>0.83</v>
      </c>
      <c r="G9" s="344">
        <f t="shared" si="2"/>
        <v>0</v>
      </c>
      <c r="H9" t="s">
        <v>175</v>
      </c>
      <c r="J9" s="270">
        <v>0.83</v>
      </c>
    </row>
    <row r="10" spans="1:28" x14ac:dyDescent="0.25">
      <c r="A10" t="s">
        <v>1389</v>
      </c>
      <c r="B10" s="118"/>
      <c r="C10" s="13" t="s">
        <v>6</v>
      </c>
      <c r="D10" s="24" t="s">
        <v>225</v>
      </c>
      <c r="E10" s="69">
        <f t="shared" si="0"/>
        <v>35</v>
      </c>
      <c r="F10" s="348">
        <f t="shared" si="1"/>
        <v>6.543333333333333</v>
      </c>
      <c r="G10" s="344">
        <f t="shared" si="2"/>
        <v>229.01666666666668</v>
      </c>
      <c r="H10" s="64" t="s">
        <v>1100</v>
      </c>
      <c r="I10" s="338">
        <v>6.55</v>
      </c>
      <c r="J10" s="328">
        <v>6.93</v>
      </c>
      <c r="K10" s="328">
        <v>5</v>
      </c>
      <c r="L10" s="328"/>
      <c r="M10" s="328"/>
      <c r="N10" s="328"/>
      <c r="O10" s="328"/>
      <c r="P10" s="328">
        <v>7.7</v>
      </c>
      <c r="Q10" s="255">
        <v>5</v>
      </c>
      <c r="R10" s="308">
        <f t="shared" ref="R10:R15" si="3">$F10*Q10</f>
        <v>32.716666666666669</v>
      </c>
      <c r="S10" s="256">
        <v>10</v>
      </c>
      <c r="T10" s="301">
        <f t="shared" ref="T10:T15" si="4">$F10*S10</f>
        <v>65.433333333333337</v>
      </c>
      <c r="U10" s="257">
        <v>5</v>
      </c>
      <c r="V10" s="296">
        <f t="shared" ref="V10:V15" si="5">$F10*U10</f>
        <v>32.716666666666669</v>
      </c>
      <c r="W10" s="247">
        <v>5</v>
      </c>
      <c r="X10" s="287">
        <f t="shared" ref="X10:X15" si="6">$F10*W10</f>
        <v>32.716666666666669</v>
      </c>
      <c r="Y10" s="260">
        <v>10</v>
      </c>
      <c r="Z10" s="279">
        <f t="shared" ref="Z10:Z15" si="7">$F10*Y10</f>
        <v>65.433333333333337</v>
      </c>
      <c r="AA10" s="6"/>
      <c r="AB10" s="6"/>
    </row>
    <row r="11" spans="1:28" x14ac:dyDescent="0.25">
      <c r="A11" t="s">
        <v>1390</v>
      </c>
      <c r="B11" s="118"/>
      <c r="C11" s="236" t="s">
        <v>7</v>
      </c>
      <c r="D11" s="24" t="s">
        <v>225</v>
      </c>
      <c r="E11" s="69">
        <f t="shared" si="0"/>
        <v>23</v>
      </c>
      <c r="F11" s="348">
        <f t="shared" si="1"/>
        <v>65.45</v>
      </c>
      <c r="G11" s="344">
        <f t="shared" si="2"/>
        <v>1505.3500000000001</v>
      </c>
      <c r="H11" s="64" t="s">
        <v>1100</v>
      </c>
      <c r="I11" s="339">
        <v>44.75</v>
      </c>
      <c r="J11" s="328"/>
      <c r="K11" s="328">
        <v>84</v>
      </c>
      <c r="L11" s="328">
        <v>46.9</v>
      </c>
      <c r="M11" s="328"/>
      <c r="N11" s="328"/>
      <c r="O11" s="328"/>
      <c r="P11" s="328"/>
      <c r="Q11" s="255">
        <v>2</v>
      </c>
      <c r="R11" s="308">
        <f t="shared" si="3"/>
        <v>130.9</v>
      </c>
      <c r="S11" s="256">
        <v>10</v>
      </c>
      <c r="T11" s="301">
        <f t="shared" si="4"/>
        <v>654.5</v>
      </c>
      <c r="U11" s="258">
        <v>5</v>
      </c>
      <c r="V11" s="296">
        <f t="shared" si="5"/>
        <v>327.25</v>
      </c>
      <c r="W11" s="259">
        <v>2</v>
      </c>
      <c r="X11" s="287">
        <f t="shared" si="6"/>
        <v>130.9</v>
      </c>
      <c r="Y11" s="260">
        <v>4</v>
      </c>
      <c r="Z11" s="279">
        <f t="shared" si="7"/>
        <v>261.8</v>
      </c>
      <c r="AA11" s="6"/>
      <c r="AB11" s="6"/>
    </row>
    <row r="12" spans="1:28" x14ac:dyDescent="0.25">
      <c r="A12" t="s">
        <v>1391</v>
      </c>
      <c r="B12" s="118"/>
      <c r="C12" s="236" t="s">
        <v>8</v>
      </c>
      <c r="D12" s="24" t="s">
        <v>225</v>
      </c>
      <c r="E12" s="69">
        <f t="shared" si="0"/>
        <v>19</v>
      </c>
      <c r="F12" s="348">
        <f t="shared" si="1"/>
        <v>217.5</v>
      </c>
      <c r="G12" s="344">
        <f t="shared" si="2"/>
        <v>4132.5</v>
      </c>
      <c r="H12" s="64" t="s">
        <v>1100</v>
      </c>
      <c r="I12" s="339">
        <v>170</v>
      </c>
      <c r="J12" s="328"/>
      <c r="K12" s="328">
        <v>263</v>
      </c>
      <c r="L12" s="328"/>
      <c r="M12" s="328"/>
      <c r="N12" s="328">
        <v>172</v>
      </c>
      <c r="O12" s="328"/>
      <c r="P12" s="328"/>
      <c r="Q12" s="255">
        <v>2</v>
      </c>
      <c r="R12" s="308">
        <f t="shared" si="3"/>
        <v>435</v>
      </c>
      <c r="S12" s="256">
        <v>5</v>
      </c>
      <c r="T12" s="301">
        <f t="shared" si="4"/>
        <v>1087.5</v>
      </c>
      <c r="U12" s="258">
        <v>5</v>
      </c>
      <c r="V12" s="296">
        <f t="shared" si="5"/>
        <v>1087.5</v>
      </c>
      <c r="W12" s="259">
        <v>2</v>
      </c>
      <c r="X12" s="287">
        <f t="shared" si="6"/>
        <v>435</v>
      </c>
      <c r="Y12" s="260">
        <v>5</v>
      </c>
      <c r="Z12" s="279">
        <f t="shared" si="7"/>
        <v>1087.5</v>
      </c>
      <c r="AA12" s="6"/>
      <c r="AB12" s="6"/>
    </row>
    <row r="13" spans="1:28" x14ac:dyDescent="0.25">
      <c r="A13" t="s">
        <v>1392</v>
      </c>
      <c r="B13" s="118"/>
      <c r="C13" s="13" t="s">
        <v>9</v>
      </c>
      <c r="D13" s="24" t="s">
        <v>225</v>
      </c>
      <c r="E13" s="69">
        <f t="shared" si="0"/>
        <v>55</v>
      </c>
      <c r="F13" s="348">
        <f t="shared" si="1"/>
        <v>11.05</v>
      </c>
      <c r="G13" s="344">
        <f t="shared" si="2"/>
        <v>607.75</v>
      </c>
      <c r="H13" s="64" t="s">
        <v>1100</v>
      </c>
      <c r="I13" s="338">
        <v>10.47</v>
      </c>
      <c r="J13" s="328"/>
      <c r="K13" s="328">
        <v>10</v>
      </c>
      <c r="L13" s="328"/>
      <c r="M13" s="328"/>
      <c r="N13" s="328"/>
      <c r="O13" s="328"/>
      <c r="P13" s="328">
        <v>12.1</v>
      </c>
      <c r="Q13" s="255">
        <v>5</v>
      </c>
      <c r="R13" s="308">
        <f t="shared" si="3"/>
        <v>55.25</v>
      </c>
      <c r="S13" s="256">
        <v>30</v>
      </c>
      <c r="T13" s="301">
        <f t="shared" si="4"/>
        <v>331.5</v>
      </c>
      <c r="U13" s="257">
        <v>5</v>
      </c>
      <c r="V13" s="296">
        <f t="shared" si="5"/>
        <v>55.25</v>
      </c>
      <c r="W13" s="247">
        <v>5</v>
      </c>
      <c r="X13" s="287">
        <f t="shared" si="6"/>
        <v>55.25</v>
      </c>
      <c r="Y13" s="260">
        <v>10</v>
      </c>
      <c r="Z13" s="279">
        <f t="shared" si="7"/>
        <v>110.5</v>
      </c>
      <c r="AA13" s="6"/>
      <c r="AB13" s="6"/>
    </row>
    <row r="14" spans="1:28" x14ac:dyDescent="0.25">
      <c r="A14" t="s">
        <v>1393</v>
      </c>
      <c r="B14" s="234"/>
      <c r="C14" s="13" t="s">
        <v>10</v>
      </c>
      <c r="D14" s="24" t="s">
        <v>225</v>
      </c>
      <c r="E14" s="69">
        <f t="shared" si="0"/>
        <v>80</v>
      </c>
      <c r="F14" s="348">
        <f t="shared" si="1"/>
        <v>155.41</v>
      </c>
      <c r="G14" s="344">
        <f t="shared" si="2"/>
        <v>12432.8</v>
      </c>
      <c r="H14" s="64" t="s">
        <v>1100</v>
      </c>
      <c r="I14" s="338">
        <v>178.9</v>
      </c>
      <c r="J14" s="328">
        <f>9.99*18</f>
        <v>179.82</v>
      </c>
      <c r="K14" s="328">
        <v>131</v>
      </c>
      <c r="L14" s="328"/>
      <c r="M14" s="328"/>
      <c r="N14" s="328"/>
      <c r="O14" s="328"/>
      <c r="P14" s="328"/>
      <c r="Q14" s="255">
        <v>5</v>
      </c>
      <c r="R14" s="308">
        <f t="shared" si="3"/>
        <v>777.05</v>
      </c>
      <c r="S14" s="256">
        <v>30</v>
      </c>
      <c r="T14" s="301">
        <f t="shared" si="4"/>
        <v>4662.3</v>
      </c>
      <c r="U14" s="257">
        <v>10</v>
      </c>
      <c r="V14" s="296">
        <f t="shared" si="5"/>
        <v>1554.1</v>
      </c>
      <c r="W14" s="247">
        <v>15</v>
      </c>
      <c r="X14" s="287">
        <f t="shared" si="6"/>
        <v>2331.15</v>
      </c>
      <c r="Y14" s="260">
        <v>20</v>
      </c>
      <c r="Z14" s="279">
        <f t="shared" si="7"/>
        <v>3108.2</v>
      </c>
      <c r="AA14" s="6"/>
      <c r="AB14" s="6"/>
    </row>
    <row r="15" spans="1:28" x14ac:dyDescent="0.25">
      <c r="A15" t="s">
        <v>1394</v>
      </c>
      <c r="B15" s="118"/>
      <c r="C15" s="13" t="s">
        <v>11</v>
      </c>
      <c r="D15" s="24" t="s">
        <v>225</v>
      </c>
      <c r="E15" s="69">
        <f t="shared" si="0"/>
        <v>95</v>
      </c>
      <c r="F15" s="348">
        <f t="shared" si="1"/>
        <v>50.725000000000001</v>
      </c>
      <c r="G15" s="344">
        <f t="shared" si="2"/>
        <v>4818.875</v>
      </c>
      <c r="H15" s="64" t="s">
        <v>1100</v>
      </c>
      <c r="I15" s="338">
        <v>41.73</v>
      </c>
      <c r="J15" s="328"/>
      <c r="K15" s="328">
        <v>44.45</v>
      </c>
      <c r="L15" s="328"/>
      <c r="M15" s="328"/>
      <c r="N15" s="328"/>
      <c r="O15" s="328"/>
      <c r="P15" s="328">
        <v>57</v>
      </c>
      <c r="Q15" s="255">
        <v>5</v>
      </c>
      <c r="R15" s="308">
        <f t="shared" si="3"/>
        <v>253.625</v>
      </c>
      <c r="S15" s="256">
        <v>30</v>
      </c>
      <c r="T15" s="301">
        <f t="shared" si="4"/>
        <v>1521.75</v>
      </c>
      <c r="U15" s="257">
        <v>20</v>
      </c>
      <c r="V15" s="296">
        <f t="shared" si="5"/>
        <v>1014.5</v>
      </c>
      <c r="W15" s="247">
        <v>20</v>
      </c>
      <c r="X15" s="287">
        <f t="shared" si="6"/>
        <v>1014.5</v>
      </c>
      <c r="Y15" s="260">
        <v>20</v>
      </c>
      <c r="Z15" s="279">
        <f t="shared" si="7"/>
        <v>1014.5</v>
      </c>
      <c r="AA15" s="6"/>
      <c r="AB15" s="6"/>
    </row>
    <row r="16" spans="1:28" ht="30" x14ac:dyDescent="0.25">
      <c r="A16" t="s">
        <v>1395</v>
      </c>
      <c r="B16">
        <v>151</v>
      </c>
      <c r="C16" s="121" t="s">
        <v>907</v>
      </c>
      <c r="D16" s="24" t="s">
        <v>225</v>
      </c>
      <c r="E16" s="69">
        <f t="shared" si="0"/>
        <v>0</v>
      </c>
      <c r="F16" s="348">
        <f t="shared" si="1"/>
        <v>17.84</v>
      </c>
      <c r="G16" s="344">
        <f t="shared" si="2"/>
        <v>0</v>
      </c>
      <c r="H16" t="s">
        <v>175</v>
      </c>
      <c r="J16" s="270">
        <v>17.84</v>
      </c>
    </row>
    <row r="17" spans="1:28" ht="60" x14ac:dyDescent="0.25">
      <c r="A17" t="s">
        <v>1396</v>
      </c>
      <c r="B17">
        <v>606</v>
      </c>
      <c r="C17" s="121" t="s">
        <v>575</v>
      </c>
      <c r="D17" s="24" t="s">
        <v>225</v>
      </c>
      <c r="E17" s="69">
        <f t="shared" si="0"/>
        <v>0</v>
      </c>
      <c r="F17" s="348">
        <f t="shared" si="1"/>
        <v>604.27</v>
      </c>
      <c r="G17" s="344">
        <f t="shared" si="2"/>
        <v>0</v>
      </c>
      <c r="H17" t="s">
        <v>175</v>
      </c>
      <c r="J17" s="270">
        <v>604.27</v>
      </c>
    </row>
    <row r="18" spans="1:28" x14ac:dyDescent="0.25">
      <c r="A18" t="s">
        <v>1397</v>
      </c>
      <c r="B18" s="118"/>
      <c r="C18" s="13" t="s">
        <v>12</v>
      </c>
      <c r="D18" s="24" t="s">
        <v>225</v>
      </c>
      <c r="E18" s="69">
        <f t="shared" si="0"/>
        <v>95</v>
      </c>
      <c r="F18" s="348">
        <f t="shared" si="1"/>
        <v>3.4349999999999996</v>
      </c>
      <c r="G18" s="344">
        <f t="shared" si="2"/>
        <v>326.32499999999993</v>
      </c>
      <c r="H18" s="64" t="s">
        <v>1100</v>
      </c>
      <c r="I18" s="338">
        <v>5.14</v>
      </c>
      <c r="J18" s="328"/>
      <c r="K18" s="328">
        <v>3.84</v>
      </c>
      <c r="L18" s="328"/>
      <c r="M18" s="328"/>
      <c r="N18" s="328"/>
      <c r="O18" s="328"/>
      <c r="P18" s="328">
        <v>3.03</v>
      </c>
      <c r="Q18" s="255">
        <v>5</v>
      </c>
      <c r="R18" s="308">
        <f>$F18*Q18</f>
        <v>17.174999999999997</v>
      </c>
      <c r="S18" s="256">
        <v>30</v>
      </c>
      <c r="T18" s="301">
        <f>$F18*S18</f>
        <v>103.04999999999998</v>
      </c>
      <c r="U18" s="257">
        <v>30</v>
      </c>
      <c r="V18" s="296">
        <f>$F18*U18</f>
        <v>103.04999999999998</v>
      </c>
      <c r="W18" s="247">
        <v>20</v>
      </c>
      <c r="X18" s="287">
        <f>$F18*W18</f>
        <v>68.699999999999989</v>
      </c>
      <c r="Y18" s="260">
        <v>10</v>
      </c>
      <c r="Z18" s="279">
        <f>$F18*Y18</f>
        <v>34.349999999999994</v>
      </c>
      <c r="AA18" s="6"/>
      <c r="AB18" s="6"/>
    </row>
    <row r="19" spans="1:28" x14ac:dyDescent="0.25">
      <c r="A19" t="s">
        <v>1398</v>
      </c>
      <c r="B19" s="118"/>
      <c r="C19" s="13" t="s">
        <v>13</v>
      </c>
      <c r="D19" s="24" t="s">
        <v>225</v>
      </c>
      <c r="E19" s="69">
        <f t="shared" si="0"/>
        <v>105</v>
      </c>
      <c r="F19" s="348">
        <f t="shared" si="1"/>
        <v>2.21</v>
      </c>
      <c r="G19" s="344">
        <f t="shared" si="2"/>
        <v>232.04999999999995</v>
      </c>
      <c r="H19" s="64" t="s">
        <v>1100</v>
      </c>
      <c r="I19" s="338">
        <v>2.98</v>
      </c>
      <c r="J19" s="328"/>
      <c r="K19" s="328"/>
      <c r="L19" s="328">
        <v>1.39</v>
      </c>
      <c r="M19" s="328"/>
      <c r="N19" s="328"/>
      <c r="O19" s="328"/>
      <c r="P19" s="328">
        <v>3.03</v>
      </c>
      <c r="Q19" s="255">
        <v>5</v>
      </c>
      <c r="R19" s="308">
        <f>$F19*Q19</f>
        <v>11.05</v>
      </c>
      <c r="S19" s="256">
        <v>30</v>
      </c>
      <c r="T19" s="301">
        <f>$F19*S19</f>
        <v>66.3</v>
      </c>
      <c r="U19" s="257">
        <v>30</v>
      </c>
      <c r="V19" s="296">
        <f>$F19*U19</f>
        <v>66.3</v>
      </c>
      <c r="W19" s="247">
        <v>20</v>
      </c>
      <c r="X19" s="287">
        <f>$F19*W19</f>
        <v>44.2</v>
      </c>
      <c r="Y19" s="260">
        <v>20</v>
      </c>
      <c r="Z19" s="279">
        <f>$F19*Y19</f>
        <v>44.2</v>
      </c>
      <c r="AA19" s="6"/>
      <c r="AB19" s="6"/>
    </row>
    <row r="20" spans="1:28" x14ac:dyDescent="0.25">
      <c r="A20" t="s">
        <v>1399</v>
      </c>
      <c r="B20" s="118"/>
      <c r="C20" s="236" t="s">
        <v>14</v>
      </c>
      <c r="D20" s="24" t="s">
        <v>225</v>
      </c>
      <c r="E20" s="69">
        <f t="shared" si="0"/>
        <v>115</v>
      </c>
      <c r="F20" s="348">
        <f t="shared" si="1"/>
        <v>111.55000000000001</v>
      </c>
      <c r="G20" s="344">
        <f t="shared" si="2"/>
        <v>12828.25</v>
      </c>
      <c r="H20" s="64" t="s">
        <v>1100</v>
      </c>
      <c r="I20" s="338">
        <v>125.59</v>
      </c>
      <c r="J20" s="328">
        <v>121.97</v>
      </c>
      <c r="K20" s="328">
        <v>103</v>
      </c>
      <c r="L20" s="328">
        <v>81.900000000000006</v>
      </c>
      <c r="M20" s="328"/>
      <c r="N20" s="328"/>
      <c r="O20" s="328"/>
      <c r="P20" s="328">
        <v>139.33000000000001</v>
      </c>
      <c r="Q20" s="255">
        <v>5</v>
      </c>
      <c r="R20" s="308">
        <f>$F20*Q20</f>
        <v>557.75</v>
      </c>
      <c r="S20" s="256">
        <v>20</v>
      </c>
      <c r="T20" s="301">
        <f>$F20*S20</f>
        <v>2231</v>
      </c>
      <c r="U20" s="257">
        <v>50</v>
      </c>
      <c r="V20" s="296">
        <f>$F20*U20</f>
        <v>5577.5000000000009</v>
      </c>
      <c r="W20" s="247">
        <v>20</v>
      </c>
      <c r="X20" s="287">
        <f>$F20*W20</f>
        <v>2231</v>
      </c>
      <c r="Y20" s="260">
        <v>20</v>
      </c>
      <c r="Z20" s="279">
        <f>$F20*Y20</f>
        <v>2231</v>
      </c>
      <c r="AA20" s="6"/>
      <c r="AB20" s="6"/>
    </row>
    <row r="21" spans="1:28" ht="30" x14ac:dyDescent="0.25">
      <c r="A21" t="s">
        <v>1400</v>
      </c>
      <c r="B21">
        <v>38385</v>
      </c>
      <c r="C21" s="121" t="s">
        <v>1073</v>
      </c>
      <c r="D21" s="24" t="s">
        <v>225</v>
      </c>
      <c r="E21" s="69">
        <f t="shared" si="0"/>
        <v>0</v>
      </c>
      <c r="F21" s="348">
        <f t="shared" si="1"/>
        <v>38</v>
      </c>
      <c r="G21" s="344">
        <f t="shared" si="2"/>
        <v>0</v>
      </c>
      <c r="H21" t="s">
        <v>175</v>
      </c>
      <c r="J21" s="270">
        <v>38</v>
      </c>
    </row>
    <row r="22" spans="1:28" x14ac:dyDescent="0.25">
      <c r="A22" t="s">
        <v>1401</v>
      </c>
      <c r="B22" s="118"/>
      <c r="C22" s="13" t="s">
        <v>15</v>
      </c>
      <c r="D22" s="24" t="s">
        <v>225</v>
      </c>
      <c r="E22" s="69">
        <f t="shared" si="0"/>
        <v>70</v>
      </c>
      <c r="F22" s="348">
        <f t="shared" si="1"/>
        <v>4.7733333333333334</v>
      </c>
      <c r="G22" s="344">
        <f t="shared" si="2"/>
        <v>334.13333333333333</v>
      </c>
      <c r="H22" s="64" t="s">
        <v>1100</v>
      </c>
      <c r="I22" s="338">
        <v>6.89</v>
      </c>
      <c r="J22" s="328"/>
      <c r="K22" s="328">
        <v>2.9</v>
      </c>
      <c r="L22" s="328">
        <v>5.99</v>
      </c>
      <c r="M22" s="328"/>
      <c r="N22" s="328"/>
      <c r="O22" s="328"/>
      <c r="P22" s="328">
        <v>5.43</v>
      </c>
      <c r="Q22" s="255">
        <v>5</v>
      </c>
      <c r="R22" s="308">
        <f>$F22*Q22</f>
        <v>23.866666666666667</v>
      </c>
      <c r="S22" s="256">
        <v>30</v>
      </c>
      <c r="T22" s="301">
        <f>$F22*S22</f>
        <v>143.19999999999999</v>
      </c>
      <c r="U22" s="257">
        <v>15</v>
      </c>
      <c r="V22" s="296">
        <f>$F22*U22</f>
        <v>71.599999999999994</v>
      </c>
      <c r="W22" s="247">
        <v>10</v>
      </c>
      <c r="X22" s="287">
        <f>$F22*W22</f>
        <v>47.733333333333334</v>
      </c>
      <c r="Y22" s="260">
        <v>10</v>
      </c>
      <c r="Z22" s="279">
        <f>$F22*Y22</f>
        <v>47.733333333333334</v>
      </c>
      <c r="AA22" s="6"/>
      <c r="AB22" s="6"/>
    </row>
    <row r="23" spans="1:28" x14ac:dyDescent="0.25">
      <c r="A23" t="s">
        <v>1402</v>
      </c>
      <c r="B23" s="118"/>
      <c r="C23" s="13" t="s">
        <v>16</v>
      </c>
      <c r="D23" s="24" t="s">
        <v>225</v>
      </c>
      <c r="E23" s="69">
        <f t="shared" si="0"/>
        <v>60</v>
      </c>
      <c r="F23" s="348">
        <f t="shared" si="1"/>
        <v>8.4733333333333345</v>
      </c>
      <c r="G23" s="344">
        <f t="shared" si="2"/>
        <v>508.40000000000009</v>
      </c>
      <c r="H23" s="64" t="s">
        <v>1100</v>
      </c>
      <c r="I23" s="338">
        <v>13.01</v>
      </c>
      <c r="J23" s="328"/>
      <c r="K23" s="328">
        <v>3.22</v>
      </c>
      <c r="L23" s="328">
        <v>11.49</v>
      </c>
      <c r="M23" s="328"/>
      <c r="N23" s="328"/>
      <c r="O23" s="328"/>
      <c r="P23" s="328">
        <v>10.71</v>
      </c>
      <c r="Q23" s="255">
        <v>5</v>
      </c>
      <c r="R23" s="308">
        <f>$F23*Q23</f>
        <v>42.366666666666674</v>
      </c>
      <c r="S23" s="256">
        <v>20</v>
      </c>
      <c r="T23" s="301">
        <f>$F23*S23</f>
        <v>169.4666666666667</v>
      </c>
      <c r="U23" s="257">
        <v>15</v>
      </c>
      <c r="V23" s="296">
        <f>$F23*U23</f>
        <v>127.10000000000002</v>
      </c>
      <c r="W23" s="247">
        <v>10</v>
      </c>
      <c r="X23" s="287">
        <f>$F23*W23</f>
        <v>84.733333333333348</v>
      </c>
      <c r="Y23" s="260">
        <v>10</v>
      </c>
      <c r="Z23" s="279">
        <f>$F23*Y23</f>
        <v>84.733333333333348</v>
      </c>
      <c r="AA23" s="6"/>
      <c r="AB23" s="6"/>
    </row>
    <row r="24" spans="1:28" x14ac:dyDescent="0.25">
      <c r="A24" t="s">
        <v>1403</v>
      </c>
      <c r="B24" s="234"/>
      <c r="C24" s="13" t="s">
        <v>17</v>
      </c>
      <c r="D24" s="24" t="s">
        <v>225</v>
      </c>
      <c r="E24" s="69">
        <f t="shared" si="0"/>
        <v>70</v>
      </c>
      <c r="F24" s="348">
        <f t="shared" si="1"/>
        <v>19</v>
      </c>
      <c r="G24" s="344">
        <f t="shared" si="2"/>
        <v>1330</v>
      </c>
      <c r="H24" s="64" t="s">
        <v>1100</v>
      </c>
      <c r="I24" s="338">
        <v>17.649999999999999</v>
      </c>
      <c r="J24" s="328"/>
      <c r="K24" s="328">
        <v>15</v>
      </c>
      <c r="L24" s="328"/>
      <c r="M24" s="328"/>
      <c r="N24" s="328"/>
      <c r="O24" s="328"/>
      <c r="P24" s="328">
        <v>23</v>
      </c>
      <c r="Q24" s="255">
        <v>5</v>
      </c>
      <c r="R24" s="308">
        <f>$F24*Q24</f>
        <v>95</v>
      </c>
      <c r="S24" s="256">
        <v>30</v>
      </c>
      <c r="T24" s="301">
        <f>$F24*S24</f>
        <v>570</v>
      </c>
      <c r="U24" s="257">
        <v>15</v>
      </c>
      <c r="V24" s="296">
        <f>$F24*U24</f>
        <v>285</v>
      </c>
      <c r="W24" s="247">
        <v>10</v>
      </c>
      <c r="X24" s="287">
        <f>$F24*W24</f>
        <v>190</v>
      </c>
      <c r="Y24" s="260">
        <v>10</v>
      </c>
      <c r="Z24" s="279">
        <f>$F24*Y24</f>
        <v>190</v>
      </c>
      <c r="AA24" s="6"/>
      <c r="AB24" s="6"/>
    </row>
    <row r="25" spans="1:28" x14ac:dyDescent="0.25">
      <c r="A25" t="s">
        <v>1404</v>
      </c>
      <c r="B25">
        <v>5320</v>
      </c>
      <c r="C25" s="121" t="s">
        <v>1074</v>
      </c>
      <c r="D25" s="24" t="s">
        <v>225</v>
      </c>
      <c r="E25" s="69">
        <f t="shared" si="0"/>
        <v>0</v>
      </c>
      <c r="F25" s="348">
        <f t="shared" si="1"/>
        <v>32.729999999999997</v>
      </c>
      <c r="G25" s="344">
        <f t="shared" si="2"/>
        <v>0</v>
      </c>
      <c r="H25" t="s">
        <v>175</v>
      </c>
      <c r="J25" s="270">
        <v>32.729999999999997</v>
      </c>
    </row>
    <row r="26" spans="1:28" x14ac:dyDescent="0.25">
      <c r="A26" t="s">
        <v>1405</v>
      </c>
      <c r="B26" s="118"/>
      <c r="C26" s="13" t="s">
        <v>18</v>
      </c>
      <c r="D26" s="24" t="s">
        <v>225</v>
      </c>
      <c r="E26" s="69">
        <f t="shared" si="0"/>
        <v>110</v>
      </c>
      <c r="F26" s="348">
        <f t="shared" si="1"/>
        <v>17.966666666666665</v>
      </c>
      <c r="G26" s="344">
        <f t="shared" si="2"/>
        <v>1976.3333333333333</v>
      </c>
      <c r="H26" s="64" t="s">
        <v>1100</v>
      </c>
      <c r="I26" s="338">
        <v>48.19</v>
      </c>
      <c r="J26" s="328"/>
      <c r="K26" s="328">
        <v>14</v>
      </c>
      <c r="L26" s="328"/>
      <c r="M26" s="328"/>
      <c r="N26" s="328"/>
      <c r="O26" s="328">
        <v>16.899999999999999</v>
      </c>
      <c r="P26" s="328">
        <v>23</v>
      </c>
      <c r="Q26" s="255">
        <v>10</v>
      </c>
      <c r="R26" s="308">
        <f>$F26*Q26</f>
        <v>179.66666666666666</v>
      </c>
      <c r="S26" s="256">
        <v>50</v>
      </c>
      <c r="T26" s="301">
        <f>$F26*S26</f>
        <v>898.33333333333326</v>
      </c>
      <c r="U26" s="257">
        <v>20</v>
      </c>
      <c r="V26" s="296">
        <f>$F26*U26</f>
        <v>359.33333333333331</v>
      </c>
      <c r="W26" s="247">
        <v>20</v>
      </c>
      <c r="X26" s="287">
        <f>$F26*W26</f>
        <v>359.33333333333331</v>
      </c>
      <c r="Y26" s="260">
        <v>10</v>
      </c>
      <c r="Z26" s="279">
        <f>$F26*Y26</f>
        <v>179.66666666666666</v>
      </c>
      <c r="AA26" s="6"/>
      <c r="AB26" s="6"/>
    </row>
    <row r="27" spans="1:28" x14ac:dyDescent="0.25">
      <c r="A27" t="s">
        <v>1406</v>
      </c>
      <c r="B27" s="118"/>
      <c r="C27" s="236" t="s">
        <v>19</v>
      </c>
      <c r="D27" s="24" t="s">
        <v>225</v>
      </c>
      <c r="E27" s="69">
        <f t="shared" si="0"/>
        <v>100</v>
      </c>
      <c r="F27" s="348">
        <f t="shared" si="1"/>
        <v>12.883333333333333</v>
      </c>
      <c r="G27" s="344">
        <f t="shared" si="2"/>
        <v>1288.3333333333333</v>
      </c>
      <c r="H27" s="64" t="s">
        <v>1100</v>
      </c>
      <c r="I27" s="338">
        <v>17.84</v>
      </c>
      <c r="J27" s="328"/>
      <c r="K27" s="328">
        <v>11.75</v>
      </c>
      <c r="L27" s="328"/>
      <c r="M27" s="328"/>
      <c r="N27" s="328"/>
      <c r="O27" s="328">
        <v>16.899999999999999</v>
      </c>
      <c r="P27" s="328">
        <v>10</v>
      </c>
      <c r="Q27" s="255">
        <v>10</v>
      </c>
      <c r="R27" s="308">
        <f>$F27*Q27</f>
        <v>128.83333333333331</v>
      </c>
      <c r="S27" s="256">
        <v>50</v>
      </c>
      <c r="T27" s="301">
        <f>$F27*S27</f>
        <v>644.16666666666663</v>
      </c>
      <c r="U27" s="257">
        <v>10</v>
      </c>
      <c r="V27" s="296">
        <f>$F27*U27</f>
        <v>128.83333333333331</v>
      </c>
      <c r="W27" s="247">
        <v>20</v>
      </c>
      <c r="X27" s="287">
        <f>$F27*W27</f>
        <v>257.66666666666663</v>
      </c>
      <c r="Y27" s="260">
        <v>10</v>
      </c>
      <c r="Z27" s="279">
        <f>$F27*Y27</f>
        <v>128.83333333333331</v>
      </c>
      <c r="AA27" s="6"/>
      <c r="AB27" s="6"/>
    </row>
    <row r="28" spans="1:28" x14ac:dyDescent="0.25">
      <c r="A28" t="s">
        <v>1407</v>
      </c>
      <c r="B28" s="118"/>
      <c r="C28" s="13" t="s">
        <v>20</v>
      </c>
      <c r="D28" s="24" t="s">
        <v>225</v>
      </c>
      <c r="E28" s="69">
        <f t="shared" si="0"/>
        <v>100</v>
      </c>
      <c r="F28" s="348">
        <f t="shared" si="1"/>
        <v>18.363333333333333</v>
      </c>
      <c r="G28" s="344">
        <f t="shared" si="2"/>
        <v>1836.3333333333335</v>
      </c>
      <c r="H28" s="64" t="s">
        <v>1100</v>
      </c>
      <c r="I28" s="338">
        <v>22.71</v>
      </c>
      <c r="J28" s="328"/>
      <c r="K28" s="340">
        <v>17.690000000000001</v>
      </c>
      <c r="L28" s="328"/>
      <c r="M28" s="328"/>
      <c r="N28" s="328"/>
      <c r="O28" s="328">
        <v>20.9</v>
      </c>
      <c r="P28" s="328">
        <v>16.5</v>
      </c>
      <c r="Q28" s="255">
        <v>10</v>
      </c>
      <c r="R28" s="308">
        <f>$F28*Q28</f>
        <v>183.63333333333333</v>
      </c>
      <c r="S28" s="256">
        <v>50</v>
      </c>
      <c r="T28" s="301">
        <f>$F28*S28</f>
        <v>918.16666666666663</v>
      </c>
      <c r="U28" s="257">
        <v>10</v>
      </c>
      <c r="V28" s="296">
        <f>$F28*U28</f>
        <v>183.63333333333333</v>
      </c>
      <c r="W28" s="247">
        <v>20</v>
      </c>
      <c r="X28" s="287">
        <f>$F28*W28</f>
        <v>367.26666666666665</v>
      </c>
      <c r="Y28" s="260">
        <v>10</v>
      </c>
      <c r="Z28" s="279">
        <f>$F28*Y28</f>
        <v>183.63333333333333</v>
      </c>
      <c r="AA28" s="6"/>
      <c r="AB28" s="6"/>
    </row>
    <row r="29" spans="1:28" x14ac:dyDescent="0.25">
      <c r="A29" t="s">
        <v>1408</v>
      </c>
      <c r="B29" s="118"/>
      <c r="C29" s="13" t="s">
        <v>21</v>
      </c>
      <c r="D29" s="24" t="s">
        <v>225</v>
      </c>
      <c r="E29" s="69">
        <f t="shared" si="0"/>
        <v>100</v>
      </c>
      <c r="F29" s="348">
        <f t="shared" si="1"/>
        <v>21.093333333333334</v>
      </c>
      <c r="G29" s="344">
        <f t="shared" si="2"/>
        <v>2109.3333333333335</v>
      </c>
      <c r="H29" s="64" t="s">
        <v>1100</v>
      </c>
      <c r="I29" s="338">
        <v>24.86</v>
      </c>
      <c r="J29" s="328"/>
      <c r="K29" s="328">
        <v>22.38</v>
      </c>
      <c r="L29" s="328"/>
      <c r="M29" s="328"/>
      <c r="N29" s="328"/>
      <c r="O29" s="328">
        <v>22.9</v>
      </c>
      <c r="P29" s="328">
        <v>18</v>
      </c>
      <c r="Q29" s="255">
        <v>10</v>
      </c>
      <c r="R29" s="308">
        <f>$F29*Q29</f>
        <v>210.93333333333334</v>
      </c>
      <c r="S29" s="256">
        <v>50</v>
      </c>
      <c r="T29" s="301">
        <f>$F29*S29</f>
        <v>1054.6666666666667</v>
      </c>
      <c r="U29" s="257">
        <v>10</v>
      </c>
      <c r="V29" s="296">
        <f>$F29*U29</f>
        <v>210.93333333333334</v>
      </c>
      <c r="W29" s="247">
        <v>20</v>
      </c>
      <c r="X29" s="287">
        <f>$F29*W29</f>
        <v>421.86666666666667</v>
      </c>
      <c r="Y29" s="260">
        <v>10</v>
      </c>
      <c r="Z29" s="279">
        <f>$F29*Y29</f>
        <v>210.93333333333334</v>
      </c>
      <c r="AA29" s="6"/>
      <c r="AB29" s="6"/>
    </row>
    <row r="30" spans="1:28" x14ac:dyDescent="0.25">
      <c r="A30" t="s">
        <v>1409</v>
      </c>
      <c r="B30" s="118"/>
      <c r="C30" s="13" t="s">
        <v>22</v>
      </c>
      <c r="D30" s="24" t="s">
        <v>225</v>
      </c>
      <c r="E30" s="69">
        <f t="shared" si="0"/>
        <v>100</v>
      </c>
      <c r="F30" s="348">
        <f t="shared" si="1"/>
        <v>63.466666666666669</v>
      </c>
      <c r="G30" s="344">
        <f t="shared" si="2"/>
        <v>6346.6666666666679</v>
      </c>
      <c r="H30" s="64" t="s">
        <v>1100</v>
      </c>
      <c r="I30" s="338">
        <v>49.54</v>
      </c>
      <c r="J30" s="328">
        <f>11.28*5</f>
        <v>56.4</v>
      </c>
      <c r="K30" s="328">
        <v>61</v>
      </c>
      <c r="L30" s="328"/>
      <c r="M30" s="328"/>
      <c r="N30" s="328"/>
      <c r="O30" s="328"/>
      <c r="P30" s="328">
        <v>73</v>
      </c>
      <c r="Q30" s="255">
        <v>10</v>
      </c>
      <c r="R30" s="308">
        <f>$F30*Q30</f>
        <v>634.66666666666674</v>
      </c>
      <c r="S30" s="256">
        <v>30</v>
      </c>
      <c r="T30" s="301">
        <f>$F30*S30</f>
        <v>1904</v>
      </c>
      <c r="U30" s="257">
        <v>10</v>
      </c>
      <c r="V30" s="296">
        <f>$F30*U30</f>
        <v>634.66666666666674</v>
      </c>
      <c r="W30" s="247">
        <v>20</v>
      </c>
      <c r="X30" s="287">
        <f>$F30*W30</f>
        <v>1269.3333333333335</v>
      </c>
      <c r="Y30" s="260">
        <v>30</v>
      </c>
      <c r="Z30" s="279">
        <f>$F30*Y30</f>
        <v>1904</v>
      </c>
      <c r="AA30" s="6"/>
      <c r="AB30" s="6"/>
    </row>
    <row r="31" spans="1:28" ht="45" x14ac:dyDescent="0.25">
      <c r="A31" t="s">
        <v>1410</v>
      </c>
      <c r="B31">
        <v>38121</v>
      </c>
      <c r="C31" s="121" t="s">
        <v>1076</v>
      </c>
      <c r="D31" s="24" t="s">
        <v>225</v>
      </c>
      <c r="E31" s="69">
        <f t="shared" si="0"/>
        <v>0</v>
      </c>
      <c r="F31" s="348">
        <f t="shared" si="1"/>
        <v>10.75</v>
      </c>
      <c r="G31" s="344">
        <f t="shared" si="2"/>
        <v>0</v>
      </c>
      <c r="H31" t="s">
        <v>175</v>
      </c>
      <c r="J31" s="270">
        <v>10.75</v>
      </c>
    </row>
    <row r="32" spans="1:28" x14ac:dyDescent="0.25">
      <c r="A32" t="s">
        <v>1411</v>
      </c>
      <c r="B32">
        <v>7287</v>
      </c>
      <c r="C32" s="121" t="s">
        <v>1072</v>
      </c>
      <c r="D32" s="24" t="s">
        <v>225</v>
      </c>
      <c r="E32" s="69">
        <f t="shared" si="0"/>
        <v>0</v>
      </c>
      <c r="F32" s="348">
        <f t="shared" si="1"/>
        <v>83.92</v>
      </c>
      <c r="G32" s="344">
        <f t="shared" si="2"/>
        <v>0</v>
      </c>
      <c r="H32" t="s">
        <v>175</v>
      </c>
      <c r="J32" s="270">
        <v>83.92</v>
      </c>
    </row>
    <row r="33" spans="1:28" x14ac:dyDescent="0.25">
      <c r="A33" t="s">
        <v>1412</v>
      </c>
      <c r="B33" s="142">
        <v>7350</v>
      </c>
      <c r="C33" s="143" t="s">
        <v>1077</v>
      </c>
      <c r="D33" s="24" t="s">
        <v>225</v>
      </c>
      <c r="E33" s="69">
        <f t="shared" si="0"/>
        <v>0</v>
      </c>
      <c r="F33" s="348">
        <f t="shared" si="1"/>
        <v>25.57</v>
      </c>
      <c r="G33" s="344">
        <f t="shared" si="2"/>
        <v>0</v>
      </c>
      <c r="H33" s="142" t="s">
        <v>175</v>
      </c>
      <c r="I33" s="269"/>
      <c r="J33" s="269">
        <v>25.57</v>
      </c>
      <c r="K33" s="269"/>
      <c r="L33" s="269"/>
      <c r="M33" s="269"/>
      <c r="N33" s="269"/>
      <c r="O33" s="269"/>
      <c r="P33" s="269"/>
      <c r="Q33" s="142"/>
      <c r="R33" s="269"/>
      <c r="S33" s="142"/>
      <c r="T33" s="269"/>
      <c r="U33" s="142"/>
      <c r="V33" s="269"/>
      <c r="W33" s="142"/>
      <c r="X33" s="269"/>
      <c r="Y33" s="142"/>
      <c r="Z33" s="269"/>
    </row>
    <row r="34" spans="1:28" x14ac:dyDescent="0.25">
      <c r="A34" t="s">
        <v>1413</v>
      </c>
      <c r="B34" s="142">
        <v>7348</v>
      </c>
      <c r="C34" s="143" t="s">
        <v>1071</v>
      </c>
      <c r="D34" s="24" t="s">
        <v>225</v>
      </c>
      <c r="E34" s="69">
        <f t="shared" si="0"/>
        <v>0</v>
      </c>
      <c r="F34" s="348">
        <f t="shared" si="1"/>
        <v>14.34</v>
      </c>
      <c r="G34" s="344">
        <f t="shared" si="2"/>
        <v>0</v>
      </c>
      <c r="H34" s="142" t="s">
        <v>175</v>
      </c>
      <c r="I34" s="269"/>
      <c r="J34" s="269">
        <v>14.34</v>
      </c>
      <c r="K34" s="269"/>
      <c r="L34" s="269"/>
      <c r="M34" s="269"/>
      <c r="N34" s="269"/>
      <c r="O34" s="269"/>
      <c r="P34" s="269"/>
      <c r="Q34" s="142"/>
      <c r="R34" s="269"/>
      <c r="S34" s="142"/>
      <c r="T34" s="269"/>
      <c r="U34" s="142"/>
      <c r="V34" s="269"/>
      <c r="W34" s="142"/>
      <c r="X34" s="269"/>
      <c r="Y34" s="142"/>
      <c r="Z34" s="269"/>
    </row>
    <row r="35" spans="1:28" x14ac:dyDescent="0.25">
      <c r="A35" t="s">
        <v>1414</v>
      </c>
      <c r="B35" s="142">
        <v>7347</v>
      </c>
      <c r="C35" s="143" t="s">
        <v>1071</v>
      </c>
      <c r="D35" s="24" t="s">
        <v>225</v>
      </c>
      <c r="E35" s="69">
        <f t="shared" si="0"/>
        <v>0</v>
      </c>
      <c r="F35" s="348">
        <f t="shared" si="1"/>
        <v>51.63</v>
      </c>
      <c r="G35" s="344">
        <f t="shared" si="2"/>
        <v>0</v>
      </c>
      <c r="H35" s="142" t="s">
        <v>175</v>
      </c>
      <c r="I35" s="269"/>
      <c r="J35" s="269">
        <v>51.63</v>
      </c>
      <c r="K35" s="269"/>
      <c r="L35" s="269"/>
      <c r="M35" s="269"/>
      <c r="N35" s="269"/>
      <c r="O35" s="269"/>
      <c r="P35" s="269"/>
      <c r="Q35" s="142"/>
      <c r="R35" s="269"/>
      <c r="S35" s="142"/>
      <c r="T35" s="269"/>
      <c r="U35" s="142"/>
      <c r="V35" s="269"/>
      <c r="W35" s="142"/>
      <c r="X35" s="269"/>
      <c r="Y35" s="142"/>
      <c r="Z35" s="269"/>
    </row>
    <row r="36" spans="1:28" x14ac:dyDescent="0.25">
      <c r="A36" t="s">
        <v>1415</v>
      </c>
      <c r="B36" s="142">
        <v>7356</v>
      </c>
      <c r="C36" s="143" t="s">
        <v>1078</v>
      </c>
      <c r="D36" s="24" t="s">
        <v>225</v>
      </c>
      <c r="E36" s="69">
        <f t="shared" si="0"/>
        <v>0</v>
      </c>
      <c r="F36" s="348">
        <f t="shared" si="1"/>
        <v>21.49</v>
      </c>
      <c r="G36" s="344">
        <f t="shared" si="2"/>
        <v>0</v>
      </c>
      <c r="H36" s="142" t="s">
        <v>175</v>
      </c>
      <c r="I36" s="269"/>
      <c r="J36" s="269">
        <v>21.49</v>
      </c>
      <c r="K36" s="269"/>
      <c r="L36" s="269"/>
      <c r="M36" s="269"/>
      <c r="N36" s="269"/>
      <c r="O36" s="269"/>
      <c r="P36" s="269"/>
      <c r="Q36" s="142"/>
      <c r="R36" s="269"/>
      <c r="S36" s="142"/>
      <c r="T36" s="269"/>
      <c r="U36" s="142"/>
      <c r="V36" s="269"/>
      <c r="W36" s="142"/>
      <c r="X36" s="269"/>
      <c r="Y36" s="142"/>
      <c r="Z36" s="269"/>
    </row>
    <row r="37" spans="1:28" ht="45" x14ac:dyDescent="0.25">
      <c r="A37" t="s">
        <v>1416</v>
      </c>
      <c r="B37" s="142">
        <v>7313</v>
      </c>
      <c r="C37" s="143" t="s">
        <v>1079</v>
      </c>
      <c r="D37" s="24" t="s">
        <v>225</v>
      </c>
      <c r="E37" s="69">
        <f t="shared" si="0"/>
        <v>0</v>
      </c>
      <c r="F37" s="348">
        <f t="shared" si="1"/>
        <v>14.81</v>
      </c>
      <c r="G37" s="344">
        <f t="shared" si="2"/>
        <v>0</v>
      </c>
      <c r="H37" s="142" t="s">
        <v>175</v>
      </c>
      <c r="I37" s="269"/>
      <c r="J37" s="269">
        <v>14.81</v>
      </c>
      <c r="K37" s="269"/>
      <c r="L37" s="269"/>
      <c r="M37" s="269"/>
      <c r="N37" s="269"/>
      <c r="O37" s="269"/>
      <c r="P37" s="269"/>
      <c r="Q37" s="142"/>
      <c r="R37" s="269"/>
      <c r="S37" s="142"/>
      <c r="T37" s="269"/>
      <c r="U37" s="142"/>
      <c r="V37" s="269"/>
      <c r="W37" s="142"/>
      <c r="X37" s="269"/>
      <c r="Y37" s="142"/>
      <c r="Z37" s="269"/>
    </row>
    <row r="38" spans="1:28" ht="30" x14ac:dyDescent="0.25">
      <c r="A38" t="s">
        <v>1417</v>
      </c>
      <c r="B38" s="142">
        <v>38119</v>
      </c>
      <c r="C38" s="143" t="s">
        <v>1080</v>
      </c>
      <c r="D38" s="24" t="s">
        <v>225</v>
      </c>
      <c r="E38" s="69">
        <f t="shared" si="0"/>
        <v>0</v>
      </c>
      <c r="F38" s="348">
        <f t="shared" si="1"/>
        <v>108.85</v>
      </c>
      <c r="G38" s="344">
        <f t="shared" si="2"/>
        <v>0</v>
      </c>
      <c r="H38" s="142" t="s">
        <v>175</v>
      </c>
      <c r="I38" s="269"/>
      <c r="J38" s="269">
        <v>108.85</v>
      </c>
      <c r="K38" s="269"/>
      <c r="L38" s="269"/>
      <c r="M38" s="269"/>
      <c r="N38" s="269"/>
      <c r="O38" s="269"/>
      <c r="P38" s="269"/>
      <c r="Q38" s="142"/>
      <c r="R38" s="269"/>
      <c r="S38" s="142"/>
      <c r="T38" s="269"/>
      <c r="U38" s="142"/>
      <c r="V38" s="269"/>
      <c r="W38" s="142"/>
      <c r="X38" s="269"/>
      <c r="Y38" s="142"/>
      <c r="Z38" s="269"/>
    </row>
    <row r="39" spans="1:28" ht="30" x14ac:dyDescent="0.25">
      <c r="A39" t="s">
        <v>1418</v>
      </c>
      <c r="B39" s="142">
        <v>7314</v>
      </c>
      <c r="C39" s="143" t="s">
        <v>1081</v>
      </c>
      <c r="D39" s="24" t="s">
        <v>225</v>
      </c>
      <c r="E39" s="69">
        <f t="shared" si="0"/>
        <v>0</v>
      </c>
      <c r="F39" s="348">
        <f t="shared" si="1"/>
        <v>117.31</v>
      </c>
      <c r="G39" s="344">
        <f t="shared" si="2"/>
        <v>0</v>
      </c>
      <c r="H39" s="142" t="s">
        <v>175</v>
      </c>
      <c r="I39" s="269"/>
      <c r="J39" s="269">
        <v>117.31</v>
      </c>
      <c r="K39" s="269"/>
      <c r="L39" s="269"/>
      <c r="M39" s="269"/>
      <c r="N39" s="269"/>
      <c r="O39" s="269"/>
      <c r="P39" s="269"/>
      <c r="Q39" s="142"/>
      <c r="R39" s="269"/>
      <c r="S39" s="142"/>
      <c r="T39" s="269"/>
      <c r="U39" s="142"/>
      <c r="V39" s="269"/>
      <c r="W39" s="142"/>
      <c r="X39" s="269"/>
      <c r="Y39" s="142"/>
      <c r="Z39" s="269"/>
    </row>
    <row r="40" spans="1:28" ht="30" x14ac:dyDescent="0.25">
      <c r="A40" t="s">
        <v>1419</v>
      </c>
      <c r="B40" s="142">
        <v>7293</v>
      </c>
      <c r="C40" s="143" t="s">
        <v>1083</v>
      </c>
      <c r="D40" s="24" t="s">
        <v>225</v>
      </c>
      <c r="E40" s="69">
        <f t="shared" si="0"/>
        <v>0</v>
      </c>
      <c r="F40" s="348">
        <f t="shared" si="1"/>
        <v>28.08</v>
      </c>
      <c r="G40" s="344">
        <f t="shared" si="2"/>
        <v>0</v>
      </c>
      <c r="H40" s="142" t="s">
        <v>175</v>
      </c>
      <c r="I40" s="269"/>
      <c r="J40" s="269">
        <v>28.08</v>
      </c>
      <c r="K40" s="269"/>
      <c r="L40" s="269"/>
      <c r="M40" s="269"/>
      <c r="N40" s="269"/>
      <c r="O40" s="269"/>
      <c r="P40" s="269"/>
      <c r="Q40" s="142"/>
      <c r="R40" s="269"/>
      <c r="S40" s="142"/>
      <c r="T40" s="269"/>
      <c r="U40" s="142"/>
      <c r="V40" s="269"/>
      <c r="W40" s="142"/>
      <c r="X40" s="269"/>
      <c r="Y40" s="142"/>
      <c r="Z40" s="269"/>
    </row>
    <row r="41" spans="1:28" x14ac:dyDescent="0.25">
      <c r="A41" t="s">
        <v>1420</v>
      </c>
      <c r="B41" s="142">
        <v>7311</v>
      </c>
      <c r="C41" s="143" t="s">
        <v>1082</v>
      </c>
      <c r="D41" s="24" t="s">
        <v>225</v>
      </c>
      <c r="E41" s="69">
        <f t="shared" si="0"/>
        <v>0</v>
      </c>
      <c r="F41" s="348">
        <f t="shared" si="1"/>
        <v>27.16</v>
      </c>
      <c r="G41" s="344">
        <f t="shared" si="2"/>
        <v>0</v>
      </c>
      <c r="H41" s="142" t="s">
        <v>175</v>
      </c>
      <c r="I41" s="269"/>
      <c r="J41" s="269">
        <v>27.16</v>
      </c>
      <c r="K41" s="269"/>
      <c r="L41" s="269"/>
      <c r="M41" s="269"/>
      <c r="N41" s="269"/>
      <c r="O41" s="269"/>
      <c r="P41" s="269"/>
      <c r="Q41" s="142"/>
      <c r="R41" s="269"/>
      <c r="S41" s="142"/>
      <c r="T41" s="269"/>
      <c r="U41" s="142"/>
      <c r="V41" s="269"/>
      <c r="W41" s="142"/>
      <c r="X41" s="269"/>
      <c r="Y41" s="142"/>
      <c r="Z41" s="269"/>
    </row>
    <row r="42" spans="1:28" s="6" customFormat="1" x14ac:dyDescent="0.25">
      <c r="A42" t="s">
        <v>1421</v>
      </c>
      <c r="B42" s="125">
        <v>7292</v>
      </c>
      <c r="C42" s="127" t="s">
        <v>1084</v>
      </c>
      <c r="D42" s="24" t="s">
        <v>225</v>
      </c>
      <c r="E42" s="69">
        <f t="shared" si="0"/>
        <v>0</v>
      </c>
      <c r="F42" s="348">
        <f t="shared" si="1"/>
        <v>26.37</v>
      </c>
      <c r="G42" s="344">
        <f t="shared" si="2"/>
        <v>0</v>
      </c>
      <c r="H42" s="125" t="s">
        <v>175</v>
      </c>
      <c r="I42" s="277"/>
      <c r="J42" s="277">
        <v>26.37</v>
      </c>
      <c r="K42" s="341"/>
      <c r="L42" s="277"/>
      <c r="M42" s="341"/>
      <c r="N42" s="277"/>
      <c r="O42" s="277"/>
      <c r="P42" s="277"/>
      <c r="Q42" s="125"/>
      <c r="R42" s="277"/>
      <c r="S42" s="125"/>
      <c r="T42" s="277"/>
      <c r="U42" s="125"/>
      <c r="V42" s="277"/>
      <c r="W42" s="126"/>
      <c r="X42" s="277"/>
      <c r="Y42" s="125"/>
      <c r="Z42" s="277"/>
      <c r="AA42"/>
      <c r="AB42"/>
    </row>
    <row r="43" spans="1:28" s="6" customFormat="1" x14ac:dyDescent="0.25">
      <c r="A43" t="s">
        <v>1422</v>
      </c>
      <c r="B43" s="125">
        <v>7288</v>
      </c>
      <c r="C43" s="127" t="s">
        <v>1085</v>
      </c>
      <c r="D43" s="24" t="s">
        <v>225</v>
      </c>
      <c r="E43" s="69">
        <f t="shared" si="0"/>
        <v>0</v>
      </c>
      <c r="F43" s="348">
        <f t="shared" si="1"/>
        <v>29.88</v>
      </c>
      <c r="G43" s="344">
        <f t="shared" si="2"/>
        <v>0</v>
      </c>
      <c r="H43" s="125" t="s">
        <v>175</v>
      </c>
      <c r="I43" s="277"/>
      <c r="J43" s="277">
        <v>29.88</v>
      </c>
      <c r="K43" s="341"/>
      <c r="L43" s="277"/>
      <c r="M43" s="341"/>
      <c r="N43" s="277"/>
      <c r="O43" s="277"/>
      <c r="P43" s="277"/>
      <c r="Q43" s="125"/>
      <c r="R43" s="277"/>
      <c r="S43" s="125"/>
      <c r="T43" s="277"/>
      <c r="U43" s="125"/>
      <c r="V43" s="277"/>
      <c r="W43" s="126"/>
      <c r="X43" s="277"/>
      <c r="Y43" s="125"/>
      <c r="Z43" s="277"/>
      <c r="AA43"/>
      <c r="AB43"/>
    </row>
    <row r="44" spans="1:28" s="6" customFormat="1" ht="30" x14ac:dyDescent="0.25">
      <c r="A44" t="s">
        <v>1423</v>
      </c>
      <c r="B44" s="125">
        <v>154</v>
      </c>
      <c r="C44" s="127" t="s">
        <v>1075</v>
      </c>
      <c r="D44" s="24" t="s">
        <v>225</v>
      </c>
      <c r="E44" s="69">
        <f t="shared" si="0"/>
        <v>0</v>
      </c>
      <c r="F44" s="348">
        <f t="shared" si="1"/>
        <v>46.64</v>
      </c>
      <c r="G44" s="344">
        <f t="shared" si="2"/>
        <v>0</v>
      </c>
      <c r="H44" s="125" t="s">
        <v>175</v>
      </c>
      <c r="I44" s="277"/>
      <c r="J44" s="277">
        <v>46.64</v>
      </c>
      <c r="K44" s="341"/>
      <c r="L44" s="277"/>
      <c r="M44" s="341"/>
      <c r="N44" s="277"/>
      <c r="O44" s="277"/>
      <c r="P44" s="277"/>
      <c r="Q44" s="125"/>
      <c r="R44" s="277"/>
      <c r="S44" s="125"/>
      <c r="T44" s="277"/>
      <c r="U44" s="125"/>
      <c r="V44" s="277"/>
      <c r="W44" s="126"/>
      <c r="X44" s="277"/>
      <c r="Y44" s="125"/>
      <c r="Z44" s="277"/>
      <c r="AA44"/>
      <c r="AB44"/>
    </row>
    <row r="45" spans="1:28" s="6" customFormat="1" x14ac:dyDescent="0.25">
      <c r="A45" s="190"/>
      <c r="B45" s="190"/>
      <c r="C45" s="191" t="s">
        <v>1172</v>
      </c>
      <c r="D45" s="192"/>
      <c r="E45" s="193"/>
      <c r="F45" s="325"/>
      <c r="G45" s="301">
        <f>SUM(G5:G44)</f>
        <v>54769.290000000008</v>
      </c>
      <c r="H45" s="225"/>
      <c r="I45" s="325"/>
      <c r="J45" s="325"/>
      <c r="K45" s="325"/>
      <c r="L45" s="325"/>
      <c r="M45" s="325" t="s">
        <v>1177</v>
      </c>
      <c r="N45" s="325"/>
      <c r="O45" s="325"/>
      <c r="P45" s="325"/>
      <c r="Q45" s="190"/>
      <c r="R45" s="303">
        <f>SUM(R5:R44)</f>
        <v>3887.6400000000003</v>
      </c>
      <c r="S45" s="196"/>
      <c r="T45" s="303">
        <f>SUM(T5:T44)</f>
        <v>17950.149999999998</v>
      </c>
      <c r="U45" s="197"/>
      <c r="V45" s="303">
        <f>SUM(V5:V44)</f>
        <v>11988.773333333336</v>
      </c>
      <c r="W45" s="197"/>
      <c r="X45" s="303">
        <f>SUM(X5:X44)</f>
        <v>9613.7033333333329</v>
      </c>
      <c r="Y45" s="197"/>
      <c r="Z45" s="303">
        <f>SUM(Z5:Z44)</f>
        <v>11329.023333333333</v>
      </c>
    </row>
    <row r="46" spans="1:28" s="6" customFormat="1" x14ac:dyDescent="0.25">
      <c r="A46" s="55"/>
      <c r="B46" s="55"/>
      <c r="C46" s="194" t="s">
        <v>1109</v>
      </c>
      <c r="D46" s="55">
        <f>COUNTA(A5:A44)</f>
        <v>40</v>
      </c>
      <c r="E46" s="195"/>
      <c r="F46" s="301"/>
      <c r="G46" s="278"/>
      <c r="H46" s="152"/>
      <c r="I46" s="326"/>
      <c r="J46" s="326"/>
      <c r="K46" s="326"/>
      <c r="L46" s="327"/>
      <c r="M46" s="327"/>
      <c r="N46" s="327"/>
      <c r="O46" s="327"/>
      <c r="P46" s="327"/>
      <c r="Q46" s="196"/>
      <c r="R46" s="303"/>
      <c r="S46" s="196"/>
      <c r="T46" s="262"/>
      <c r="U46" s="197"/>
      <c r="V46" s="262"/>
      <c r="W46" s="197"/>
      <c r="X46" s="262"/>
      <c r="Y46" s="197"/>
      <c r="Z46" s="262"/>
    </row>
    <row r="47" spans="1:28" x14ac:dyDescent="0.25">
      <c r="D47"/>
      <c r="E47"/>
      <c r="F47" s="122"/>
      <c r="G47" s="122"/>
      <c r="I47" s="122"/>
      <c r="J47" s="122"/>
      <c r="K47" s="122"/>
      <c r="L47" s="122"/>
      <c r="M47" s="122"/>
      <c r="N47" s="122"/>
      <c r="O47" s="122"/>
      <c r="P47" s="122"/>
      <c r="R47" s="122"/>
      <c r="T47" s="122"/>
      <c r="V47" s="122"/>
      <c r="X47" s="122"/>
      <c r="Z47" s="122"/>
    </row>
    <row r="48" spans="1:28" x14ac:dyDescent="0.25">
      <c r="D48"/>
      <c r="E48"/>
      <c r="F48" s="122"/>
      <c r="G48" s="122"/>
      <c r="I48" s="122"/>
      <c r="J48" s="122"/>
      <c r="K48" s="122"/>
      <c r="L48" s="122"/>
      <c r="M48" s="122"/>
      <c r="N48" s="122"/>
      <c r="O48" s="122"/>
      <c r="P48" s="122"/>
      <c r="R48" s="122"/>
      <c r="T48" s="122"/>
      <c r="V48" s="122"/>
      <c r="X48" s="122"/>
      <c r="Z48" s="122"/>
    </row>
    <row r="49" spans="1:28" x14ac:dyDescent="0.25">
      <c r="D49"/>
      <c r="E49"/>
      <c r="F49" s="122"/>
      <c r="G49" s="122"/>
      <c r="I49" s="122"/>
      <c r="J49" s="122"/>
      <c r="K49" s="122"/>
      <c r="L49" s="122"/>
      <c r="M49" s="122"/>
      <c r="N49" s="122"/>
      <c r="O49" s="122"/>
      <c r="P49" s="122"/>
      <c r="R49" s="122"/>
      <c r="T49" s="122"/>
      <c r="V49" s="122"/>
      <c r="X49" s="122"/>
      <c r="Z49" s="122"/>
    </row>
    <row r="50" spans="1:28" s="6" customFormat="1" x14ac:dyDescent="0.25">
      <c r="A50"/>
      <c r="B50"/>
      <c r="C50"/>
      <c r="D50"/>
      <c r="E50"/>
      <c r="F50" s="122"/>
      <c r="G50" s="122"/>
      <c r="H50"/>
      <c r="I50" s="122"/>
      <c r="J50" s="122"/>
      <c r="K50" s="122"/>
      <c r="L50" s="122"/>
      <c r="M50" s="122"/>
      <c r="N50" s="122"/>
      <c r="O50" s="122"/>
      <c r="P50" s="122"/>
      <c r="Q50"/>
      <c r="R50" s="122"/>
      <c r="S50"/>
      <c r="T50" s="122"/>
      <c r="U50"/>
      <c r="V50" s="122"/>
      <c r="W50"/>
      <c r="X50" s="122"/>
      <c r="Y50"/>
      <c r="Z50" s="122"/>
      <c r="AA50"/>
      <c r="AB50"/>
    </row>
    <row r="51" spans="1:28" s="6" customFormat="1" x14ac:dyDescent="0.25">
      <c r="A51"/>
      <c r="B51"/>
      <c r="C51"/>
      <c r="D51"/>
      <c r="E51"/>
      <c r="F51" s="122"/>
      <c r="G51" s="122"/>
      <c r="H51"/>
      <c r="I51" s="122"/>
      <c r="J51" s="122"/>
      <c r="K51" s="122"/>
      <c r="L51" s="122"/>
      <c r="M51" s="122"/>
      <c r="N51" s="122"/>
      <c r="O51" s="122"/>
      <c r="P51" s="122"/>
      <c r="Q51"/>
      <c r="R51" s="122"/>
      <c r="S51"/>
      <c r="T51" s="122"/>
      <c r="U51"/>
      <c r="V51" s="122"/>
      <c r="W51"/>
      <c r="X51" s="122"/>
      <c r="Y51"/>
      <c r="Z51" s="122"/>
      <c r="AA51"/>
      <c r="AB51"/>
    </row>
    <row r="52" spans="1:28" s="6" customFormat="1" x14ac:dyDescent="0.25">
      <c r="A52"/>
      <c r="B52"/>
      <c r="C52"/>
      <c r="D52"/>
      <c r="E52"/>
      <c r="F52" s="122"/>
      <c r="G52" s="122"/>
      <c r="H52"/>
      <c r="I52" s="122"/>
      <c r="J52" s="122"/>
      <c r="K52" s="122"/>
      <c r="L52" s="122"/>
      <c r="M52" s="122"/>
      <c r="N52" s="122"/>
      <c r="O52" s="122"/>
      <c r="P52" s="122"/>
      <c r="Q52"/>
      <c r="R52" s="122"/>
      <c r="S52"/>
      <c r="T52" s="122"/>
      <c r="U52"/>
      <c r="V52" s="122"/>
      <c r="W52"/>
      <c r="X52" s="122"/>
      <c r="Y52"/>
      <c r="Z52" s="122"/>
      <c r="AA52"/>
      <c r="AB52"/>
    </row>
    <row r="53" spans="1:28" s="6" customFormat="1" x14ac:dyDescent="0.25">
      <c r="A53"/>
      <c r="B53"/>
      <c r="C53"/>
      <c r="D53"/>
      <c r="E53"/>
      <c r="F53" s="122"/>
      <c r="G53" s="122"/>
      <c r="H53"/>
      <c r="I53" s="122"/>
      <c r="J53" s="122"/>
      <c r="K53" s="122"/>
      <c r="L53" s="122"/>
      <c r="M53" s="122"/>
      <c r="N53" s="122"/>
      <c r="O53" s="122"/>
      <c r="P53" s="122"/>
      <c r="Q53"/>
      <c r="R53" s="122"/>
      <c r="S53"/>
      <c r="T53" s="122"/>
      <c r="U53"/>
      <c r="V53" s="122"/>
      <c r="W53"/>
      <c r="X53" s="122"/>
      <c r="Y53"/>
      <c r="Z53" s="122"/>
      <c r="AA53"/>
      <c r="AB53"/>
    </row>
    <row r="54" spans="1:28" s="6" customFormat="1" x14ac:dyDescent="0.25">
      <c r="A54"/>
      <c r="B54"/>
      <c r="C54"/>
      <c r="D54"/>
      <c r="E54"/>
      <c r="F54" s="122"/>
      <c r="G54" s="122"/>
      <c r="H54"/>
      <c r="I54" s="122"/>
      <c r="J54" s="122"/>
      <c r="K54" s="122"/>
      <c r="L54" s="122"/>
      <c r="M54" s="122"/>
      <c r="N54" s="122"/>
      <c r="O54" s="122"/>
      <c r="P54" s="122"/>
      <c r="Q54"/>
      <c r="R54" s="122"/>
      <c r="S54"/>
      <c r="T54" s="122"/>
      <c r="U54"/>
      <c r="V54" s="122"/>
      <c r="W54"/>
      <c r="X54" s="122"/>
      <c r="Y54"/>
      <c r="Z54" s="122"/>
      <c r="AA54"/>
      <c r="AB54"/>
    </row>
    <row r="55" spans="1:28" s="6" customFormat="1" x14ac:dyDescent="0.25">
      <c r="A55"/>
      <c r="B55"/>
      <c r="C55"/>
      <c r="D55"/>
      <c r="E55"/>
      <c r="F55" s="122"/>
      <c r="G55" s="122"/>
      <c r="H55"/>
      <c r="I55" s="122"/>
      <c r="J55" s="122"/>
      <c r="K55" s="122"/>
      <c r="L55" s="122"/>
      <c r="M55" s="122"/>
      <c r="N55" s="122"/>
      <c r="O55" s="122"/>
      <c r="P55" s="122"/>
      <c r="Q55"/>
      <c r="R55" s="122"/>
      <c r="S55"/>
      <c r="T55" s="122"/>
      <c r="U55"/>
      <c r="V55" s="122"/>
      <c r="W55"/>
      <c r="X55" s="122"/>
      <c r="Y55"/>
      <c r="Z55" s="122"/>
      <c r="AA55"/>
      <c r="AB55"/>
    </row>
    <row r="56" spans="1:28" s="6" customFormat="1" x14ac:dyDescent="0.25">
      <c r="A56"/>
      <c r="B56"/>
      <c r="C56"/>
      <c r="D56"/>
      <c r="E56"/>
      <c r="F56" s="122"/>
      <c r="G56" s="122"/>
      <c r="H56"/>
      <c r="I56" s="122"/>
      <c r="J56" s="122"/>
      <c r="K56" s="122"/>
      <c r="L56" s="122"/>
      <c r="M56" s="122"/>
      <c r="N56" s="122"/>
      <c r="O56" s="122"/>
      <c r="P56" s="122"/>
      <c r="Q56"/>
      <c r="R56" s="122"/>
      <c r="S56"/>
      <c r="T56" s="122"/>
      <c r="U56"/>
      <c r="V56" s="122"/>
      <c r="W56"/>
      <c r="X56" s="122"/>
      <c r="Y56"/>
      <c r="Z56" s="122"/>
      <c r="AA56"/>
      <c r="AB56"/>
    </row>
    <row r="57" spans="1:28" s="6" customFormat="1" x14ac:dyDescent="0.25">
      <c r="A57"/>
      <c r="B57"/>
      <c r="C57"/>
      <c r="D57"/>
      <c r="E57"/>
      <c r="F57" s="122"/>
      <c r="G57" s="122"/>
      <c r="H57"/>
      <c r="I57" s="122"/>
      <c r="J57" s="122"/>
      <c r="K57" s="122"/>
      <c r="L57" s="122"/>
      <c r="M57" s="122"/>
      <c r="N57" s="122"/>
      <c r="O57" s="122"/>
      <c r="P57" s="122"/>
      <c r="Q57"/>
      <c r="R57" s="122"/>
      <c r="S57"/>
      <c r="T57" s="122"/>
      <c r="U57"/>
      <c r="V57" s="122"/>
      <c r="W57"/>
      <c r="X57" s="122"/>
      <c r="Y57"/>
      <c r="Z57" s="122"/>
      <c r="AA57"/>
      <c r="AB57"/>
    </row>
    <row r="58" spans="1:28" s="6" customFormat="1" x14ac:dyDescent="0.25">
      <c r="A58"/>
      <c r="B58"/>
      <c r="C58"/>
      <c r="D58"/>
      <c r="E58"/>
      <c r="F58" s="122"/>
      <c r="G58" s="122"/>
      <c r="H58"/>
      <c r="I58" s="122"/>
      <c r="J58" s="122"/>
      <c r="K58" s="122"/>
      <c r="L58" s="122"/>
      <c r="M58" s="122"/>
      <c r="N58" s="122"/>
      <c r="O58" s="122"/>
      <c r="P58" s="122"/>
      <c r="Q58"/>
      <c r="R58" s="122"/>
      <c r="S58"/>
      <c r="T58" s="122"/>
      <c r="U58"/>
      <c r="V58" s="122"/>
      <c r="W58"/>
      <c r="X58" s="122"/>
      <c r="Y58"/>
      <c r="Z58" s="122"/>
      <c r="AA58"/>
      <c r="AB58"/>
    </row>
    <row r="59" spans="1:28" s="6" customFormat="1" x14ac:dyDescent="0.25">
      <c r="A59"/>
      <c r="B59"/>
      <c r="C59"/>
      <c r="D59"/>
      <c r="E59"/>
      <c r="F59" s="122"/>
      <c r="G59" s="122"/>
      <c r="H59"/>
      <c r="I59" s="122"/>
      <c r="J59" s="122"/>
      <c r="K59" s="122"/>
      <c r="L59" s="122"/>
      <c r="M59" s="122"/>
      <c r="N59" s="122"/>
      <c r="O59" s="122"/>
      <c r="P59" s="122"/>
      <c r="Q59"/>
      <c r="R59" s="122"/>
      <c r="S59"/>
      <c r="T59" s="122"/>
      <c r="U59"/>
      <c r="V59" s="122"/>
      <c r="W59"/>
      <c r="X59" s="122"/>
      <c r="Y59"/>
      <c r="Z59" s="122"/>
      <c r="AA59"/>
      <c r="AB59"/>
    </row>
    <row r="60" spans="1:28" s="6" customFormat="1" x14ac:dyDescent="0.25">
      <c r="A60"/>
      <c r="B60"/>
      <c r="C60"/>
      <c r="D60"/>
      <c r="E60"/>
      <c r="F60" s="122"/>
      <c r="G60" s="122"/>
      <c r="H60"/>
      <c r="I60" s="122"/>
      <c r="J60" s="122"/>
      <c r="K60" s="122"/>
      <c r="L60" s="122"/>
      <c r="M60" s="122"/>
      <c r="N60" s="122"/>
      <c r="O60" s="122"/>
      <c r="P60" s="122"/>
      <c r="Q60"/>
      <c r="R60" s="122"/>
      <c r="S60"/>
      <c r="T60" s="122"/>
      <c r="U60"/>
      <c r="V60" s="122"/>
      <c r="W60"/>
      <c r="X60" s="122"/>
      <c r="Y60"/>
      <c r="Z60" s="122"/>
      <c r="AA60"/>
      <c r="AB60"/>
    </row>
    <row r="61" spans="1:28" s="6" customFormat="1" x14ac:dyDescent="0.25">
      <c r="A61"/>
      <c r="B61"/>
      <c r="C61"/>
      <c r="D61"/>
      <c r="E61"/>
      <c r="F61" s="122"/>
      <c r="G61" s="122"/>
      <c r="H61"/>
      <c r="I61" s="122"/>
      <c r="J61" s="122"/>
      <c r="K61" s="122"/>
      <c r="L61" s="122"/>
      <c r="M61" s="122"/>
      <c r="N61" s="122"/>
      <c r="O61" s="122"/>
      <c r="P61" s="122"/>
      <c r="Q61"/>
      <c r="R61" s="122"/>
      <c r="S61"/>
      <c r="T61" s="122"/>
      <c r="U61"/>
      <c r="V61" s="122"/>
      <c r="W61"/>
      <c r="X61" s="122"/>
      <c r="Y61"/>
      <c r="Z61" s="122"/>
      <c r="AA61"/>
      <c r="AB61"/>
    </row>
    <row r="62" spans="1:28" s="6" customFormat="1" x14ac:dyDescent="0.25">
      <c r="A62"/>
      <c r="B62"/>
      <c r="C62"/>
      <c r="D62"/>
      <c r="E62"/>
      <c r="F62" s="122"/>
      <c r="G62" s="122"/>
      <c r="H62"/>
      <c r="I62" s="122"/>
      <c r="J62" s="122"/>
      <c r="K62" s="122"/>
      <c r="L62" s="122"/>
      <c r="M62" s="122"/>
      <c r="N62" s="122"/>
      <c r="O62" s="122"/>
      <c r="P62" s="122"/>
      <c r="Q62"/>
      <c r="R62" s="122"/>
      <c r="S62"/>
      <c r="T62" s="122"/>
      <c r="U62"/>
      <c r="V62" s="122"/>
      <c r="W62"/>
      <c r="X62" s="122"/>
      <c r="Y62"/>
      <c r="Z62" s="122"/>
      <c r="AA62"/>
      <c r="AB62"/>
    </row>
    <row r="63" spans="1:28" s="6" customFormat="1" x14ac:dyDescent="0.25">
      <c r="A63"/>
      <c r="B63"/>
      <c r="C63"/>
      <c r="D63"/>
      <c r="E63"/>
      <c r="F63" s="122"/>
      <c r="G63" s="122"/>
      <c r="H63"/>
      <c r="I63" s="122"/>
      <c r="J63" s="122"/>
      <c r="K63" s="122"/>
      <c r="L63" s="122"/>
      <c r="M63" s="122"/>
      <c r="N63" s="122"/>
      <c r="O63" s="122"/>
      <c r="P63" s="122"/>
      <c r="Q63"/>
      <c r="R63" s="122"/>
      <c r="S63"/>
      <c r="T63" s="122"/>
      <c r="U63"/>
      <c r="V63" s="122"/>
      <c r="W63"/>
      <c r="X63" s="122"/>
      <c r="Y63"/>
      <c r="Z63" s="122"/>
      <c r="AA63"/>
      <c r="AB63"/>
    </row>
    <row r="64" spans="1:28" s="6" customFormat="1" x14ac:dyDescent="0.25">
      <c r="A64"/>
      <c r="B64"/>
      <c r="C64"/>
      <c r="D64"/>
      <c r="E64"/>
      <c r="F64" s="122"/>
      <c r="G64" s="122"/>
      <c r="H64"/>
      <c r="I64" s="122"/>
      <c r="J64" s="122"/>
      <c r="K64" s="122"/>
      <c r="L64" s="122"/>
      <c r="M64" s="122"/>
      <c r="N64" s="122"/>
      <c r="O64" s="122"/>
      <c r="P64" s="122"/>
      <c r="Q64"/>
      <c r="R64" s="122"/>
      <c r="S64"/>
      <c r="T64" s="122"/>
      <c r="U64"/>
      <c r="V64" s="122"/>
      <c r="W64"/>
      <c r="X64" s="122"/>
      <c r="Y64"/>
      <c r="Z64" s="122"/>
      <c r="AA64"/>
      <c r="AB64"/>
    </row>
    <row r="65" spans="1:28" s="6" customFormat="1" x14ac:dyDescent="0.25">
      <c r="A65"/>
      <c r="B65"/>
      <c r="C65"/>
      <c r="D65"/>
      <c r="E65"/>
      <c r="F65" s="122"/>
      <c r="G65" s="122"/>
      <c r="H65"/>
      <c r="I65" s="122"/>
      <c r="J65" s="122"/>
      <c r="K65" s="122"/>
      <c r="L65" s="122"/>
      <c r="M65" s="122"/>
      <c r="N65" s="122"/>
      <c r="O65" s="122"/>
      <c r="P65" s="122"/>
      <c r="Q65"/>
      <c r="R65" s="122"/>
      <c r="S65"/>
      <c r="T65" s="122"/>
      <c r="U65"/>
      <c r="V65" s="122"/>
      <c r="W65"/>
      <c r="X65" s="122"/>
      <c r="Y65"/>
      <c r="Z65" s="122"/>
      <c r="AA65"/>
      <c r="AB65"/>
    </row>
    <row r="66" spans="1:28" s="6" customFormat="1" x14ac:dyDescent="0.25">
      <c r="A66"/>
      <c r="B66"/>
      <c r="C66"/>
      <c r="D66"/>
      <c r="E66"/>
      <c r="F66" s="122"/>
      <c r="G66" s="122"/>
      <c r="H66"/>
      <c r="I66" s="122"/>
      <c r="J66" s="122"/>
      <c r="K66" s="122"/>
      <c r="L66" s="122"/>
      <c r="M66" s="122"/>
      <c r="N66" s="122"/>
      <c r="O66" s="122"/>
      <c r="P66" s="122"/>
      <c r="Q66"/>
      <c r="R66" s="122"/>
      <c r="S66"/>
      <c r="T66" s="122"/>
      <c r="U66"/>
      <c r="V66" s="122"/>
      <c r="W66"/>
      <c r="X66" s="122"/>
      <c r="Y66"/>
      <c r="Z66" s="122"/>
      <c r="AA66"/>
      <c r="AB66"/>
    </row>
    <row r="67" spans="1:28" s="6" customFormat="1" x14ac:dyDescent="0.25">
      <c r="A67"/>
      <c r="B67"/>
      <c r="C67"/>
      <c r="D67"/>
      <c r="E67"/>
      <c r="F67" s="122"/>
      <c r="G67" s="122"/>
      <c r="H67"/>
      <c r="I67" s="122"/>
      <c r="J67" s="122"/>
      <c r="K67" s="122"/>
      <c r="L67" s="122"/>
      <c r="M67" s="122"/>
      <c r="N67" s="122"/>
      <c r="O67" s="122"/>
      <c r="P67" s="122"/>
      <c r="Q67"/>
      <c r="R67" s="122"/>
      <c r="S67"/>
      <c r="T67" s="122"/>
      <c r="U67"/>
      <c r="V67" s="122"/>
      <c r="W67"/>
      <c r="X67" s="122"/>
      <c r="Y67"/>
      <c r="Z67" s="122"/>
      <c r="AA67"/>
      <c r="AB67"/>
    </row>
    <row r="68" spans="1:28" s="6" customFormat="1" x14ac:dyDescent="0.25">
      <c r="A68"/>
      <c r="B68"/>
      <c r="C68"/>
      <c r="D68"/>
      <c r="E68"/>
      <c r="F68" s="122"/>
      <c r="G68" s="122"/>
      <c r="H68"/>
      <c r="I68" s="122"/>
      <c r="J68" s="122"/>
      <c r="K68" s="122"/>
      <c r="L68" s="122"/>
      <c r="M68" s="122"/>
      <c r="N68" s="122"/>
      <c r="O68" s="122"/>
      <c r="P68" s="122"/>
      <c r="Q68"/>
      <c r="R68" s="122"/>
      <c r="S68"/>
      <c r="T68" s="122"/>
      <c r="U68"/>
      <c r="V68" s="122"/>
      <c r="W68"/>
      <c r="X68" s="122"/>
      <c r="Y68"/>
      <c r="Z68" s="122"/>
      <c r="AA68"/>
      <c r="AB68"/>
    </row>
    <row r="69" spans="1:28" s="6" customFormat="1" x14ac:dyDescent="0.25">
      <c r="A69"/>
      <c r="B69"/>
      <c r="C69"/>
      <c r="D69"/>
      <c r="E69"/>
      <c r="F69" s="122"/>
      <c r="G69" s="122"/>
      <c r="H69"/>
      <c r="I69" s="122"/>
      <c r="J69" s="122"/>
      <c r="K69" s="122"/>
      <c r="L69" s="122"/>
      <c r="M69" s="122"/>
      <c r="N69" s="122"/>
      <c r="O69" s="122"/>
      <c r="P69" s="122"/>
      <c r="Q69"/>
      <c r="R69" s="122"/>
      <c r="S69"/>
      <c r="T69" s="122"/>
      <c r="U69"/>
      <c r="V69" s="122"/>
      <c r="W69"/>
      <c r="X69" s="122"/>
      <c r="Y69"/>
      <c r="Z69" s="122"/>
      <c r="AA69"/>
      <c r="AB69"/>
    </row>
    <row r="70" spans="1:28" s="6" customFormat="1" x14ac:dyDescent="0.25">
      <c r="A70"/>
      <c r="B70"/>
      <c r="C70"/>
      <c r="D70"/>
      <c r="E70"/>
      <c r="F70" s="122"/>
      <c r="G70" s="122"/>
      <c r="H70"/>
      <c r="I70" s="122"/>
      <c r="J70" s="122"/>
      <c r="K70" s="122"/>
      <c r="L70" s="122"/>
      <c r="M70" s="122"/>
      <c r="N70" s="122"/>
      <c r="O70" s="122"/>
      <c r="P70" s="122"/>
      <c r="Q70"/>
      <c r="R70" s="122"/>
      <c r="S70"/>
      <c r="T70" s="122"/>
      <c r="U70"/>
      <c r="V70" s="122"/>
      <c r="W70"/>
      <c r="X70" s="122"/>
      <c r="Y70"/>
      <c r="Z70" s="122"/>
      <c r="AA70"/>
      <c r="AB70"/>
    </row>
    <row r="71" spans="1:28" s="6" customFormat="1" x14ac:dyDescent="0.25">
      <c r="A71"/>
      <c r="B71"/>
      <c r="C71"/>
      <c r="D71"/>
      <c r="E71"/>
      <c r="F71" s="122"/>
      <c r="G71" s="122"/>
      <c r="H71"/>
      <c r="I71" s="122"/>
      <c r="J71" s="122"/>
      <c r="K71" s="122"/>
      <c r="L71" s="122"/>
      <c r="M71" s="122"/>
      <c r="N71" s="122"/>
      <c r="O71" s="122"/>
      <c r="P71" s="122"/>
      <c r="Q71"/>
      <c r="R71" s="122"/>
      <c r="S71"/>
      <c r="T71" s="122"/>
      <c r="U71"/>
      <c r="V71" s="122"/>
      <c r="W71"/>
      <c r="X71" s="122"/>
      <c r="Y71"/>
      <c r="Z71" s="122"/>
      <c r="AA71"/>
      <c r="AB71"/>
    </row>
    <row r="72" spans="1:28" s="6" customFormat="1" x14ac:dyDescent="0.25">
      <c r="A72"/>
      <c r="B72"/>
      <c r="C72"/>
      <c r="D72"/>
      <c r="E72"/>
      <c r="F72" s="122"/>
      <c r="G72" s="122"/>
      <c r="H72"/>
      <c r="I72" s="122"/>
      <c r="J72" s="122"/>
      <c r="K72" s="122"/>
      <c r="L72" s="122"/>
      <c r="M72" s="122"/>
      <c r="N72" s="122"/>
      <c r="O72" s="122"/>
      <c r="P72" s="122"/>
      <c r="Q72"/>
      <c r="R72" s="122"/>
      <c r="S72"/>
      <c r="T72" s="122"/>
      <c r="U72"/>
      <c r="V72" s="122"/>
      <c r="W72"/>
      <c r="X72" s="122"/>
      <c r="Y72"/>
      <c r="Z72" s="122"/>
      <c r="AA72"/>
      <c r="AB72"/>
    </row>
    <row r="73" spans="1:28" s="6" customFormat="1" x14ac:dyDescent="0.25">
      <c r="A73"/>
      <c r="B73"/>
      <c r="C73"/>
      <c r="D73"/>
      <c r="E73"/>
      <c r="F73" s="122"/>
      <c r="G73" s="122"/>
      <c r="H73"/>
      <c r="I73" s="122"/>
      <c r="J73" s="122"/>
      <c r="K73" s="122"/>
      <c r="L73" s="122"/>
      <c r="M73" s="122"/>
      <c r="N73" s="122"/>
      <c r="O73" s="122"/>
      <c r="P73" s="122"/>
      <c r="Q73"/>
      <c r="R73" s="122"/>
      <c r="S73"/>
      <c r="T73" s="122"/>
      <c r="U73"/>
      <c r="V73" s="122"/>
      <c r="W73"/>
      <c r="X73" s="122"/>
      <c r="Y73"/>
      <c r="Z73" s="122"/>
      <c r="AA73"/>
      <c r="AB73"/>
    </row>
    <row r="74" spans="1:28" s="6" customFormat="1" x14ac:dyDescent="0.25">
      <c r="A74"/>
      <c r="B74"/>
      <c r="C74"/>
      <c r="D74"/>
      <c r="E74"/>
      <c r="F74" s="122"/>
      <c r="G74" s="122"/>
      <c r="H74"/>
      <c r="I74" s="122"/>
      <c r="J74" s="122"/>
      <c r="K74" s="122"/>
      <c r="L74" s="122"/>
      <c r="M74" s="122"/>
      <c r="N74" s="122"/>
      <c r="O74" s="122"/>
      <c r="P74" s="122"/>
      <c r="Q74"/>
      <c r="R74" s="122"/>
      <c r="S74"/>
      <c r="T74" s="122"/>
      <c r="U74"/>
      <c r="V74" s="122"/>
      <c r="W74"/>
      <c r="X74" s="122"/>
      <c r="Y74"/>
      <c r="Z74" s="122"/>
      <c r="AA74"/>
      <c r="AB74"/>
    </row>
    <row r="75" spans="1:28" s="6" customFormat="1" x14ac:dyDescent="0.25">
      <c r="A75"/>
      <c r="B75"/>
      <c r="C75"/>
      <c r="D75"/>
      <c r="E75"/>
      <c r="F75" s="122"/>
      <c r="G75" s="122"/>
      <c r="H75"/>
      <c r="I75" s="122"/>
      <c r="J75" s="122"/>
      <c r="K75" s="122"/>
      <c r="L75" s="122"/>
      <c r="M75" s="122"/>
      <c r="N75" s="122"/>
      <c r="O75" s="122"/>
      <c r="P75" s="122"/>
      <c r="Q75"/>
      <c r="R75" s="122"/>
      <c r="S75"/>
      <c r="T75" s="122"/>
      <c r="U75"/>
      <c r="V75" s="122"/>
      <c r="W75"/>
      <c r="X75" s="122"/>
      <c r="Y75"/>
      <c r="Z75" s="122"/>
      <c r="AA75"/>
      <c r="AB75"/>
    </row>
    <row r="76" spans="1:28" s="6" customFormat="1" ht="17.25" customHeight="1" x14ac:dyDescent="0.25">
      <c r="A76"/>
      <c r="B76"/>
      <c r="C76"/>
      <c r="D76"/>
      <c r="E76"/>
      <c r="F76" s="122"/>
      <c r="G76" s="122"/>
      <c r="H76"/>
      <c r="I76" s="122"/>
      <c r="J76" s="122"/>
      <c r="K76" s="122"/>
      <c r="L76" s="122"/>
      <c r="M76" s="122"/>
      <c r="N76" s="122"/>
      <c r="O76" s="122"/>
      <c r="P76" s="122"/>
      <c r="Q76"/>
      <c r="R76" s="122"/>
      <c r="S76"/>
      <c r="T76" s="122"/>
      <c r="U76"/>
      <c r="V76" s="122"/>
      <c r="W76"/>
      <c r="X76" s="122"/>
      <c r="Y76"/>
      <c r="Z76" s="122"/>
      <c r="AA76"/>
      <c r="AB76"/>
    </row>
    <row r="77" spans="1:28" x14ac:dyDescent="0.25">
      <c r="D77"/>
      <c r="E77"/>
      <c r="F77" s="122"/>
      <c r="G77" s="122"/>
      <c r="I77" s="122"/>
      <c r="J77" s="122"/>
      <c r="K77" s="122"/>
      <c r="L77" s="122"/>
      <c r="M77" s="122"/>
      <c r="N77" s="122"/>
      <c r="O77" s="122"/>
      <c r="P77" s="122"/>
      <c r="R77" s="122"/>
      <c r="T77" s="122"/>
      <c r="V77" s="122"/>
      <c r="X77" s="122"/>
      <c r="Z77" s="122"/>
    </row>
  </sheetData>
  <mergeCells count="4">
    <mergeCell ref="A1:Z1"/>
    <mergeCell ref="A2:H2"/>
    <mergeCell ref="I2:P2"/>
    <mergeCell ref="Q2:Z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72"/>
  <sheetViews>
    <sheetView zoomScale="90" zoomScaleNormal="90" workbookViewId="0">
      <pane ySplit="1" topLeftCell="A2" activePane="bottomLeft" state="frozen"/>
      <selection activeCell="E1" sqref="E1"/>
      <selection pane="bottomLeft" activeCell="M4" sqref="M4"/>
    </sheetView>
  </sheetViews>
  <sheetFormatPr defaultRowHeight="15" x14ac:dyDescent="0.25"/>
  <cols>
    <col min="1" max="1" width="9.140625" customWidth="1"/>
    <col min="3" max="3" width="55.140625" customWidth="1"/>
    <col min="4" max="4" width="9.140625" style="149"/>
    <col min="5" max="5" width="9.140625" style="151"/>
    <col min="6" max="6" width="9.140625" style="270"/>
    <col min="7" max="7" width="10.140625" style="270" bestFit="1" customWidth="1"/>
    <col min="9" max="9" width="10" style="270" customWidth="1"/>
    <col min="10" max="14" width="9.140625" style="270" customWidth="1"/>
    <col min="15" max="15" width="10.140625" style="270" customWidth="1"/>
    <col min="16" max="16" width="9.140625" style="270" customWidth="1"/>
    <col min="17" max="17" width="10.85546875" customWidth="1"/>
    <col min="18" max="18" width="11.42578125" style="270" bestFit="1" customWidth="1"/>
    <col min="20" max="20" width="11" style="270" bestFit="1" customWidth="1"/>
    <col min="21" max="21" width="9.85546875" bestFit="1" customWidth="1"/>
    <col min="22" max="22" width="11" style="270" bestFit="1" customWidth="1"/>
    <col min="23" max="23" width="11.140625" bestFit="1" customWidth="1"/>
    <col min="24" max="24" width="11" style="270" bestFit="1" customWidth="1"/>
    <col min="25" max="25" width="9.85546875" bestFit="1" customWidth="1"/>
    <col min="26" max="26" width="11" style="270" bestFit="1" customWidth="1"/>
    <col min="27" max="28" width="9.140625" style="6"/>
  </cols>
  <sheetData>
    <row r="1" spans="1:26" s="353" customFormat="1" ht="64.5" customHeight="1" x14ac:dyDescent="0.25">
      <c r="A1" s="426" t="s">
        <v>1372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spans="1:26" s="6" customFormat="1" ht="15.75" x14ac:dyDescent="0.25">
      <c r="A2" s="427" t="s">
        <v>1376</v>
      </c>
      <c r="B2" s="428"/>
      <c r="C2" s="428"/>
      <c r="D2" s="428"/>
      <c r="E2" s="428"/>
      <c r="F2" s="428"/>
      <c r="G2" s="428"/>
      <c r="H2" s="428"/>
      <c r="I2" s="429" t="s">
        <v>1375</v>
      </c>
      <c r="J2" s="429"/>
      <c r="K2" s="429"/>
      <c r="L2" s="429"/>
      <c r="M2" s="429"/>
      <c r="N2" s="429"/>
      <c r="O2" s="429"/>
      <c r="P2" s="430"/>
      <c r="Q2" s="431" t="s">
        <v>1374</v>
      </c>
      <c r="R2" s="432"/>
      <c r="S2" s="432"/>
      <c r="T2" s="432"/>
      <c r="U2" s="432"/>
      <c r="V2" s="432"/>
      <c r="W2" s="432"/>
      <c r="X2" s="432"/>
      <c r="Y2" s="432"/>
      <c r="Z2" s="432"/>
    </row>
    <row r="3" spans="1:26" s="6" customFormat="1" ht="15.75" thickBot="1" x14ac:dyDescent="0.3">
      <c r="A3" s="217"/>
      <c r="B3" s="217"/>
      <c r="C3" s="217" t="s">
        <v>1826</v>
      </c>
      <c r="D3" s="218"/>
      <c r="E3" s="219"/>
      <c r="F3" s="267"/>
      <c r="G3" s="267"/>
      <c r="H3" s="220"/>
      <c r="I3" s="310"/>
      <c r="J3" s="311" t="s">
        <v>215</v>
      </c>
      <c r="K3" s="312"/>
      <c r="L3" s="312"/>
      <c r="M3" s="312"/>
      <c r="N3" s="312"/>
      <c r="O3" s="312"/>
      <c r="P3" s="313"/>
      <c r="Q3" s="417" t="s">
        <v>1827</v>
      </c>
      <c r="R3" s="267"/>
      <c r="S3" s="221"/>
      <c r="T3" s="267"/>
      <c r="U3" s="220"/>
      <c r="V3" s="267"/>
      <c r="W3" s="220"/>
      <c r="X3" s="267"/>
      <c r="Y3" s="220"/>
      <c r="Z3" s="267"/>
    </row>
    <row r="4" spans="1:26" s="352" customFormat="1" ht="45" x14ac:dyDescent="0.25">
      <c r="A4" s="54" t="s">
        <v>0</v>
      </c>
      <c r="B4" s="54" t="s">
        <v>1095</v>
      </c>
      <c r="C4" s="17" t="s">
        <v>224</v>
      </c>
      <c r="D4" s="24" t="s">
        <v>225</v>
      </c>
      <c r="E4" s="19" t="s">
        <v>2</v>
      </c>
      <c r="F4" s="342" t="s">
        <v>227</v>
      </c>
      <c r="G4" s="342" t="s">
        <v>217</v>
      </c>
      <c r="H4" s="226" t="s">
        <v>226</v>
      </c>
      <c r="I4" s="314" t="s">
        <v>173</v>
      </c>
      <c r="J4" s="405" t="s">
        <v>175</v>
      </c>
      <c r="K4" s="406" t="s">
        <v>196</v>
      </c>
      <c r="L4" s="406" t="s">
        <v>182</v>
      </c>
      <c r="M4" s="405" t="s">
        <v>193</v>
      </c>
      <c r="N4" s="407" t="s">
        <v>208</v>
      </c>
      <c r="O4" s="407" t="s">
        <v>209</v>
      </c>
      <c r="P4" s="407" t="s">
        <v>216</v>
      </c>
      <c r="Q4" s="162" t="s">
        <v>1108</v>
      </c>
      <c r="R4" s="302" t="s">
        <v>1099</v>
      </c>
      <c r="S4" s="172" t="s">
        <v>1107</v>
      </c>
      <c r="T4" s="297" t="s">
        <v>1099</v>
      </c>
      <c r="U4" s="163" t="s">
        <v>1106</v>
      </c>
      <c r="V4" s="288" t="s">
        <v>1099</v>
      </c>
      <c r="W4" s="164" t="s">
        <v>1105</v>
      </c>
      <c r="X4" s="280" t="s">
        <v>1099</v>
      </c>
      <c r="Y4" s="165" t="s">
        <v>1104</v>
      </c>
      <c r="Z4" s="268" t="s">
        <v>1099</v>
      </c>
    </row>
    <row r="5" spans="1:26" s="6" customFormat="1" x14ac:dyDescent="0.25">
      <c r="A5" s="234" t="s">
        <v>1424</v>
      </c>
      <c r="B5" s="234"/>
      <c r="C5" s="14" t="s">
        <v>58</v>
      </c>
      <c r="D5" s="234" t="s">
        <v>1</v>
      </c>
      <c r="E5" s="153">
        <f t="shared" ref="E5:E68" si="0">Q5+S5+U5+W5+Y5</f>
        <v>45</v>
      </c>
      <c r="F5" s="348">
        <f t="shared" ref="F5:F36" si="1">IF(H5="SINAPI",J5,AVERAGE(J5:P5))</f>
        <v>27.812000000000001</v>
      </c>
      <c r="G5" s="410">
        <f t="shared" ref="G5:G68" si="2">R5+T5+V5+X5+Z5</f>
        <v>1251.54</v>
      </c>
      <c r="H5" s="152"/>
      <c r="I5" s="243">
        <v>20.09</v>
      </c>
      <c r="J5" s="31">
        <f>0.2*100</f>
        <v>20</v>
      </c>
      <c r="K5" s="31">
        <f>0.42*100</f>
        <v>42</v>
      </c>
      <c r="L5" s="31">
        <v>15.9</v>
      </c>
      <c r="M5" s="31">
        <v>38.26</v>
      </c>
      <c r="N5" s="31"/>
      <c r="O5" s="31">
        <v>22.9</v>
      </c>
      <c r="P5" s="31"/>
      <c r="Q5" s="27">
        <v>5</v>
      </c>
      <c r="R5" s="57">
        <f>$F5*Q5</f>
        <v>139.06</v>
      </c>
      <c r="S5" s="34">
        <v>5</v>
      </c>
      <c r="T5" s="60">
        <f>$F5*S5</f>
        <v>139.06</v>
      </c>
      <c r="U5" s="35">
        <v>15</v>
      </c>
      <c r="V5" s="61">
        <f>$F5*U5</f>
        <v>417.18</v>
      </c>
      <c r="W5" s="45">
        <v>0</v>
      </c>
      <c r="X5" s="62">
        <f>$F5*W5</f>
        <v>0</v>
      </c>
      <c r="Y5" s="36">
        <v>20</v>
      </c>
      <c r="Z5" s="63">
        <f>$F5*Y5</f>
        <v>556.24</v>
      </c>
    </row>
    <row r="6" spans="1:26" s="6" customFormat="1" ht="25.5" x14ac:dyDescent="0.25">
      <c r="A6" s="234" t="s">
        <v>1425</v>
      </c>
      <c r="B6" s="118"/>
      <c r="C6" s="13" t="s">
        <v>59</v>
      </c>
      <c r="D6" s="234" t="s">
        <v>1</v>
      </c>
      <c r="E6" s="153">
        <f t="shared" si="0"/>
        <v>45</v>
      </c>
      <c r="F6" s="348">
        <f t="shared" si="1"/>
        <v>57.405000000000001</v>
      </c>
      <c r="G6" s="410">
        <f t="shared" si="2"/>
        <v>2583.2249999999999</v>
      </c>
      <c r="H6" s="152"/>
      <c r="I6" s="243">
        <v>30.06</v>
      </c>
      <c r="J6" s="31"/>
      <c r="K6" s="31">
        <f>1*100</f>
        <v>100</v>
      </c>
      <c r="L6" s="31">
        <v>29.9</v>
      </c>
      <c r="M6" s="31">
        <v>57.82</v>
      </c>
      <c r="N6" s="31"/>
      <c r="O6" s="31">
        <v>41.9</v>
      </c>
      <c r="P6" s="31"/>
      <c r="Q6" s="27">
        <v>5</v>
      </c>
      <c r="R6" s="57">
        <f>$F6*Q6</f>
        <v>287.02499999999998</v>
      </c>
      <c r="S6" s="34">
        <v>0</v>
      </c>
      <c r="T6" s="60">
        <f>$F6*S6</f>
        <v>0</v>
      </c>
      <c r="U6" s="35">
        <v>15</v>
      </c>
      <c r="V6" s="61">
        <f>$F6*U6</f>
        <v>861.07500000000005</v>
      </c>
      <c r="W6" s="45">
        <v>0</v>
      </c>
      <c r="X6" s="62">
        <f>$F6*W6</f>
        <v>0</v>
      </c>
      <c r="Y6" s="36">
        <v>25</v>
      </c>
      <c r="Z6" s="63">
        <f>$F6*Y6</f>
        <v>1435.125</v>
      </c>
    </row>
    <row r="7" spans="1:26" s="6" customFormat="1" ht="45" x14ac:dyDescent="0.25">
      <c r="A7" s="234" t="s">
        <v>1426</v>
      </c>
      <c r="B7">
        <v>11927</v>
      </c>
      <c r="C7" s="121" t="s">
        <v>805</v>
      </c>
      <c r="D7" t="s">
        <v>229</v>
      </c>
      <c r="E7" s="153">
        <f t="shared" si="0"/>
        <v>0</v>
      </c>
      <c r="F7" s="348">
        <f t="shared" si="1"/>
        <v>4.22</v>
      </c>
      <c r="G7" s="410">
        <f t="shared" si="2"/>
        <v>0</v>
      </c>
      <c r="H7" s="6" t="s">
        <v>175</v>
      </c>
      <c r="I7"/>
      <c r="J7" s="122">
        <v>4.22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6" customFormat="1" ht="30" x14ac:dyDescent="0.25">
      <c r="A8" s="234" t="s">
        <v>1427</v>
      </c>
      <c r="B8" s="6">
        <v>36246</v>
      </c>
      <c r="C8" s="16" t="s">
        <v>994</v>
      </c>
      <c r="D8" s="6" t="s">
        <v>237</v>
      </c>
      <c r="E8" s="153">
        <f t="shared" si="0"/>
        <v>0</v>
      </c>
      <c r="F8" s="348">
        <f t="shared" si="1"/>
        <v>2.54</v>
      </c>
      <c r="G8" s="410">
        <f t="shared" si="2"/>
        <v>0</v>
      </c>
      <c r="H8" s="6" t="s">
        <v>175</v>
      </c>
      <c r="J8" s="59">
        <v>2.54</v>
      </c>
    </row>
    <row r="9" spans="1:26" s="6" customFormat="1" x14ac:dyDescent="0.25">
      <c r="A9" s="234" t="s">
        <v>1428</v>
      </c>
      <c r="B9" s="118"/>
      <c r="C9" s="13" t="s">
        <v>60</v>
      </c>
      <c r="D9" s="234" t="s">
        <v>61</v>
      </c>
      <c r="E9" s="153">
        <f t="shared" si="0"/>
        <v>35</v>
      </c>
      <c r="F9" s="348">
        <f t="shared" si="1"/>
        <v>97.106666666666683</v>
      </c>
      <c r="G9" s="410">
        <f t="shared" si="2"/>
        <v>3398.7333333333336</v>
      </c>
      <c r="H9" s="152"/>
      <c r="I9" s="243">
        <v>92.22</v>
      </c>
      <c r="J9" s="31">
        <f>25.95*3.6</f>
        <v>93.42</v>
      </c>
      <c r="K9" s="31">
        <v>110</v>
      </c>
      <c r="L9" s="31">
        <v>87.9</v>
      </c>
      <c r="M9" s="31"/>
      <c r="N9" s="31"/>
      <c r="O9" s="31"/>
      <c r="P9" s="31"/>
      <c r="Q9" s="27">
        <v>5</v>
      </c>
      <c r="R9" s="57">
        <f>$F9*Q9</f>
        <v>485.53333333333342</v>
      </c>
      <c r="S9" s="34">
        <v>0</v>
      </c>
      <c r="T9" s="60">
        <f>$F9*S9</f>
        <v>0</v>
      </c>
      <c r="U9" s="35">
        <v>5</v>
      </c>
      <c r="V9" s="61">
        <f>$F9*U9</f>
        <v>485.53333333333342</v>
      </c>
      <c r="W9" s="45">
        <v>0</v>
      </c>
      <c r="X9" s="62">
        <f>$F9*W9</f>
        <v>0</v>
      </c>
      <c r="Y9" s="36">
        <v>25</v>
      </c>
      <c r="Z9" s="63">
        <f>$F9*Y9</f>
        <v>2427.666666666667</v>
      </c>
    </row>
    <row r="10" spans="1:26" s="6" customFormat="1" ht="30" x14ac:dyDescent="0.25">
      <c r="A10" s="234" t="s">
        <v>1429</v>
      </c>
      <c r="B10">
        <v>124</v>
      </c>
      <c r="C10" s="121" t="s">
        <v>952</v>
      </c>
      <c r="D10" t="s">
        <v>778</v>
      </c>
      <c r="E10" s="153">
        <f t="shared" si="0"/>
        <v>0</v>
      </c>
      <c r="F10" s="348">
        <f t="shared" si="1"/>
        <v>11.24</v>
      </c>
      <c r="G10" s="410">
        <f t="shared" si="2"/>
        <v>0</v>
      </c>
      <c r="H10" s="6" t="s">
        <v>175</v>
      </c>
      <c r="I10"/>
      <c r="J10" s="122">
        <v>11.24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s="6" customFormat="1" ht="30" x14ac:dyDescent="0.25">
      <c r="A11" s="234" t="s">
        <v>1430</v>
      </c>
      <c r="B11" s="142">
        <v>7334</v>
      </c>
      <c r="C11" s="143" t="s">
        <v>777</v>
      </c>
      <c r="D11" s="142" t="s">
        <v>778</v>
      </c>
      <c r="E11" s="153">
        <f t="shared" si="0"/>
        <v>0</v>
      </c>
      <c r="F11" s="348">
        <f t="shared" si="1"/>
        <v>10.78</v>
      </c>
      <c r="G11" s="410">
        <f t="shared" si="2"/>
        <v>0</v>
      </c>
      <c r="H11" s="8" t="s">
        <v>175</v>
      </c>
      <c r="I11" s="142"/>
      <c r="J11" s="144">
        <v>10.78</v>
      </c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</row>
    <row r="12" spans="1:26" s="6" customFormat="1" ht="30" x14ac:dyDescent="0.25">
      <c r="A12" s="234" t="s">
        <v>1431</v>
      </c>
      <c r="B12">
        <v>4319</v>
      </c>
      <c r="C12" s="121" t="s">
        <v>889</v>
      </c>
      <c r="D12" t="s">
        <v>229</v>
      </c>
      <c r="E12" s="153">
        <f t="shared" si="0"/>
        <v>0</v>
      </c>
      <c r="F12" s="348">
        <f t="shared" si="1"/>
        <v>1.0900000000000001</v>
      </c>
      <c r="G12" s="410">
        <f t="shared" si="2"/>
        <v>0</v>
      </c>
      <c r="H12" s="6" t="s">
        <v>175</v>
      </c>
      <c r="I12"/>
      <c r="J12" s="122">
        <v>1.0900000000000001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 s="234" t="s">
        <v>1432</v>
      </c>
      <c r="B13" s="119"/>
      <c r="C13" s="181" t="s">
        <v>131</v>
      </c>
      <c r="D13" s="177" t="s">
        <v>1</v>
      </c>
      <c r="E13" s="153">
        <f t="shared" si="0"/>
        <v>75</v>
      </c>
      <c r="F13" s="348">
        <f t="shared" si="1"/>
        <v>37.186666666666667</v>
      </c>
      <c r="G13" s="410">
        <f t="shared" si="2"/>
        <v>2789.0000000000005</v>
      </c>
      <c r="H13" s="152" t="s">
        <v>1100</v>
      </c>
      <c r="I13" s="231">
        <v>38.4</v>
      </c>
      <c r="J13" s="31"/>
      <c r="K13" s="31">
        <v>66</v>
      </c>
      <c r="L13" s="31"/>
      <c r="M13" s="31">
        <v>30.06</v>
      </c>
      <c r="N13" s="31"/>
      <c r="O13" s="31"/>
      <c r="P13" s="31">
        <v>15.5</v>
      </c>
      <c r="Q13" s="80">
        <v>5</v>
      </c>
      <c r="R13" s="71">
        <f t="shared" ref="R13:R18" si="3">$F13*Q13</f>
        <v>185.93333333333334</v>
      </c>
      <c r="S13" s="72">
        <v>0</v>
      </c>
      <c r="T13" s="73">
        <f t="shared" ref="T13:T18" si="4">$F13*S13</f>
        <v>0</v>
      </c>
      <c r="U13" s="74">
        <v>50</v>
      </c>
      <c r="V13" s="75">
        <f t="shared" ref="V13:V18" si="5">$F13*U13</f>
        <v>1859.3333333333335</v>
      </c>
      <c r="W13" s="81">
        <v>10</v>
      </c>
      <c r="X13" s="77">
        <f t="shared" ref="X13:X18" si="6">$F13*W13</f>
        <v>371.86666666666667</v>
      </c>
      <c r="Y13" s="86">
        <v>10</v>
      </c>
      <c r="Z13" s="78">
        <f t="shared" ref="Z13:Z18" si="7">$F13*Y13</f>
        <v>371.86666666666667</v>
      </c>
    </row>
    <row r="14" spans="1:26" x14ac:dyDescent="0.25">
      <c r="A14" s="234" t="s">
        <v>1433</v>
      </c>
      <c r="B14" s="118"/>
      <c r="C14" s="240" t="s">
        <v>62</v>
      </c>
      <c r="D14" s="234" t="s">
        <v>1</v>
      </c>
      <c r="E14" s="153">
        <f t="shared" si="0"/>
        <v>75</v>
      </c>
      <c r="F14" s="348">
        <f t="shared" si="1"/>
        <v>324.82499999999999</v>
      </c>
      <c r="G14" s="410">
        <f t="shared" si="2"/>
        <v>24361.875</v>
      </c>
      <c r="H14" s="152" t="s">
        <v>1100</v>
      </c>
      <c r="I14" s="243">
        <v>314.55</v>
      </c>
      <c r="J14" s="31"/>
      <c r="K14" s="31">
        <v>299</v>
      </c>
      <c r="L14" s="31">
        <f>172.9*2</f>
        <v>345.8</v>
      </c>
      <c r="M14" s="31">
        <f>182.25*2</f>
        <v>364.5</v>
      </c>
      <c r="N14" s="31"/>
      <c r="O14" s="31"/>
      <c r="P14" s="31">
        <v>290</v>
      </c>
      <c r="Q14" s="27">
        <v>5</v>
      </c>
      <c r="R14" s="57">
        <f t="shared" si="3"/>
        <v>1624.125</v>
      </c>
      <c r="S14" s="34">
        <v>0</v>
      </c>
      <c r="T14" s="60">
        <f t="shared" si="4"/>
        <v>0</v>
      </c>
      <c r="U14" s="35">
        <v>5</v>
      </c>
      <c r="V14" s="61">
        <f t="shared" si="5"/>
        <v>1624.125</v>
      </c>
      <c r="W14" s="45">
        <v>50</v>
      </c>
      <c r="X14" s="62">
        <f t="shared" si="6"/>
        <v>16241.25</v>
      </c>
      <c r="Y14" s="36">
        <v>15</v>
      </c>
      <c r="Z14" s="63">
        <f t="shared" si="7"/>
        <v>4872.375</v>
      </c>
    </row>
    <row r="15" spans="1:26" x14ac:dyDescent="0.25">
      <c r="A15" s="234" t="s">
        <v>1434</v>
      </c>
      <c r="B15" s="118"/>
      <c r="C15" s="14" t="s">
        <v>188</v>
      </c>
      <c r="D15" s="234" t="s">
        <v>1</v>
      </c>
      <c r="E15" s="153">
        <f t="shared" si="0"/>
        <v>40</v>
      </c>
      <c r="F15" s="348">
        <f t="shared" si="1"/>
        <v>278.625</v>
      </c>
      <c r="G15" s="410">
        <f t="shared" si="2"/>
        <v>11145</v>
      </c>
      <c r="H15" s="152" t="s">
        <v>1100</v>
      </c>
      <c r="I15" s="243">
        <v>340</v>
      </c>
      <c r="J15" s="31"/>
      <c r="K15" s="31">
        <v>173.25</v>
      </c>
      <c r="L15" s="31"/>
      <c r="M15" s="31"/>
      <c r="N15" s="31">
        <f>38.4*10</f>
        <v>384</v>
      </c>
      <c r="O15" s="31"/>
      <c r="P15" s="31"/>
      <c r="Q15" s="27">
        <v>0</v>
      </c>
      <c r="R15" s="57">
        <f t="shared" si="3"/>
        <v>0</v>
      </c>
      <c r="S15" s="34">
        <v>0</v>
      </c>
      <c r="T15" s="60">
        <f t="shared" si="4"/>
        <v>0</v>
      </c>
      <c r="U15" s="35">
        <v>20</v>
      </c>
      <c r="V15" s="61">
        <f t="shared" si="5"/>
        <v>5572.5</v>
      </c>
      <c r="W15" s="45">
        <v>5</v>
      </c>
      <c r="X15" s="62">
        <f t="shared" si="6"/>
        <v>1393.125</v>
      </c>
      <c r="Y15" s="36">
        <v>15</v>
      </c>
      <c r="Z15" s="63">
        <f t="shared" si="7"/>
        <v>4179.375</v>
      </c>
    </row>
    <row r="16" spans="1:26" x14ac:dyDescent="0.25">
      <c r="A16" s="234" t="s">
        <v>1435</v>
      </c>
      <c r="B16" s="234"/>
      <c r="C16" s="13" t="s">
        <v>63</v>
      </c>
      <c r="D16" s="234" t="s">
        <v>1</v>
      </c>
      <c r="E16" s="153">
        <f t="shared" si="0"/>
        <v>20</v>
      </c>
      <c r="F16" s="348">
        <f t="shared" si="1"/>
        <v>285.72500000000002</v>
      </c>
      <c r="G16" s="410">
        <f t="shared" si="2"/>
        <v>5714.5</v>
      </c>
      <c r="H16" s="152" t="s">
        <v>1100</v>
      </c>
      <c r="I16" s="243">
        <v>441.13</v>
      </c>
      <c r="J16" s="31">
        <f>441</f>
        <v>441</v>
      </c>
      <c r="K16" s="31">
        <v>270</v>
      </c>
      <c r="L16" s="31">
        <v>186.9</v>
      </c>
      <c r="M16" s="31">
        <v>245</v>
      </c>
      <c r="N16" s="31"/>
      <c r="O16" s="31"/>
      <c r="P16" s="31"/>
      <c r="Q16" s="27">
        <v>0</v>
      </c>
      <c r="R16" s="57">
        <f t="shared" si="3"/>
        <v>0</v>
      </c>
      <c r="S16" s="34">
        <v>0</v>
      </c>
      <c r="T16" s="60">
        <f t="shared" si="4"/>
        <v>0</v>
      </c>
      <c r="U16" s="35">
        <v>5</v>
      </c>
      <c r="V16" s="61">
        <f t="shared" si="5"/>
        <v>1428.625</v>
      </c>
      <c r="W16" s="45"/>
      <c r="X16" s="62">
        <f t="shared" si="6"/>
        <v>0</v>
      </c>
      <c r="Y16" s="36">
        <v>15</v>
      </c>
      <c r="Z16" s="63">
        <f t="shared" si="7"/>
        <v>4285.875</v>
      </c>
    </row>
    <row r="17" spans="1:26" x14ac:dyDescent="0.25">
      <c r="A17" s="234" t="s">
        <v>1436</v>
      </c>
      <c r="B17" s="118"/>
      <c r="C17" s="235" t="s">
        <v>64</v>
      </c>
      <c r="D17" s="234" t="s">
        <v>1</v>
      </c>
      <c r="E17" s="153">
        <f t="shared" si="0"/>
        <v>55</v>
      </c>
      <c r="F17" s="348">
        <f t="shared" si="1"/>
        <v>13.823499999999999</v>
      </c>
      <c r="G17" s="410">
        <f t="shared" si="2"/>
        <v>760.2924999999999</v>
      </c>
      <c r="H17" s="152" t="s">
        <v>1100</v>
      </c>
      <c r="I17" s="243">
        <v>17.27</v>
      </c>
      <c r="J17" s="31">
        <v>13.08</v>
      </c>
      <c r="K17" s="31">
        <v>11</v>
      </c>
      <c r="L17" s="31">
        <f>81.9/8</f>
        <v>10.237500000000001</v>
      </c>
      <c r="M17" s="31"/>
      <c r="N17" s="31"/>
      <c r="O17" s="31">
        <v>19.899999999999999</v>
      </c>
      <c r="P17" s="31">
        <v>14.9</v>
      </c>
      <c r="Q17" s="27">
        <v>5</v>
      </c>
      <c r="R17" s="57">
        <f t="shared" si="3"/>
        <v>69.117499999999993</v>
      </c>
      <c r="S17" s="34">
        <v>5</v>
      </c>
      <c r="T17" s="60">
        <f t="shared" si="4"/>
        <v>69.117499999999993</v>
      </c>
      <c r="U17" s="35">
        <v>5</v>
      </c>
      <c r="V17" s="61">
        <f t="shared" si="5"/>
        <v>69.117499999999993</v>
      </c>
      <c r="W17" s="45">
        <v>15</v>
      </c>
      <c r="X17" s="62">
        <f t="shared" si="6"/>
        <v>207.35249999999999</v>
      </c>
      <c r="Y17" s="36">
        <v>25</v>
      </c>
      <c r="Z17" s="63">
        <f t="shared" si="7"/>
        <v>345.58749999999998</v>
      </c>
    </row>
    <row r="18" spans="1:26" x14ac:dyDescent="0.25">
      <c r="A18" s="234" t="s">
        <v>1437</v>
      </c>
      <c r="B18" s="118"/>
      <c r="C18" s="235" t="s">
        <v>65</v>
      </c>
      <c r="D18" s="118" t="s">
        <v>66</v>
      </c>
      <c r="E18" s="153">
        <f t="shared" si="0"/>
        <v>170</v>
      </c>
      <c r="F18" s="348">
        <f t="shared" si="1"/>
        <v>154.70333333333335</v>
      </c>
      <c r="G18" s="410">
        <f t="shared" si="2"/>
        <v>26299.566666666669</v>
      </c>
      <c r="H18" s="152" t="s">
        <v>1100</v>
      </c>
      <c r="I18" s="243">
        <v>131.43</v>
      </c>
      <c r="J18" s="31"/>
      <c r="K18" s="31">
        <v>175</v>
      </c>
      <c r="L18" s="31"/>
      <c r="M18" s="31">
        <v>130.11000000000001</v>
      </c>
      <c r="N18" s="31"/>
      <c r="O18" s="31"/>
      <c r="P18" s="31">
        <v>159</v>
      </c>
      <c r="Q18" s="27">
        <v>5</v>
      </c>
      <c r="R18" s="57">
        <f t="shared" si="3"/>
        <v>773.51666666666677</v>
      </c>
      <c r="S18" s="34">
        <v>10</v>
      </c>
      <c r="T18" s="60">
        <f t="shared" si="4"/>
        <v>1547.0333333333335</v>
      </c>
      <c r="U18" s="35">
        <v>100</v>
      </c>
      <c r="V18" s="61">
        <f t="shared" si="5"/>
        <v>15470.333333333334</v>
      </c>
      <c r="W18" s="45">
        <v>30</v>
      </c>
      <c r="X18" s="62">
        <f t="shared" si="6"/>
        <v>4641.1000000000004</v>
      </c>
      <c r="Y18" s="36">
        <v>25</v>
      </c>
      <c r="Z18" s="63">
        <f t="shared" si="7"/>
        <v>3867.5833333333335</v>
      </c>
    </row>
    <row r="19" spans="1:26" ht="30" x14ac:dyDescent="0.25">
      <c r="A19" s="234" t="s">
        <v>1438</v>
      </c>
      <c r="B19">
        <v>366</v>
      </c>
      <c r="C19" s="121" t="s">
        <v>961</v>
      </c>
      <c r="D19" t="s">
        <v>962</v>
      </c>
      <c r="E19" s="153">
        <f t="shared" si="0"/>
        <v>0</v>
      </c>
      <c r="F19" s="348">
        <f t="shared" si="1"/>
        <v>79</v>
      </c>
      <c r="G19" s="410">
        <f t="shared" si="2"/>
        <v>0</v>
      </c>
      <c r="H19" s="6" t="s">
        <v>175</v>
      </c>
      <c r="I19"/>
      <c r="J19" s="122">
        <v>79</v>
      </c>
      <c r="K19"/>
      <c r="L19"/>
      <c r="M19"/>
      <c r="N19"/>
      <c r="O19"/>
      <c r="P19"/>
      <c r="R19"/>
      <c r="T19"/>
      <c r="V19"/>
      <c r="X19"/>
      <c r="Z19"/>
    </row>
    <row r="20" spans="1:26" x14ac:dyDescent="0.25">
      <c r="A20" s="234" t="s">
        <v>1439</v>
      </c>
      <c r="B20" s="118"/>
      <c r="C20" s="235" t="s">
        <v>67</v>
      </c>
      <c r="D20" s="118" t="s">
        <v>66</v>
      </c>
      <c r="E20" s="153">
        <f t="shared" si="0"/>
        <v>250</v>
      </c>
      <c r="F20" s="348">
        <f t="shared" si="1"/>
        <v>173</v>
      </c>
      <c r="G20" s="410">
        <f t="shared" si="2"/>
        <v>43250</v>
      </c>
      <c r="H20" s="152" t="s">
        <v>1100</v>
      </c>
      <c r="I20" s="243">
        <v>149.25</v>
      </c>
      <c r="J20" s="31"/>
      <c r="K20" s="31">
        <v>187</v>
      </c>
      <c r="L20" s="31"/>
      <c r="M20" s="31"/>
      <c r="N20" s="31"/>
      <c r="O20" s="31"/>
      <c r="P20" s="31">
        <v>159</v>
      </c>
      <c r="Q20" s="27">
        <v>5</v>
      </c>
      <c r="R20" s="57">
        <f>$F20*Q20</f>
        <v>865</v>
      </c>
      <c r="S20" s="34">
        <v>70</v>
      </c>
      <c r="T20" s="60">
        <f>$F20*S20</f>
        <v>12110</v>
      </c>
      <c r="U20" s="35">
        <v>100</v>
      </c>
      <c r="V20" s="61">
        <f>$F20*U20</f>
        <v>17300</v>
      </c>
      <c r="W20" s="45">
        <v>35</v>
      </c>
      <c r="X20" s="62">
        <f>$F20*W20</f>
        <v>6055</v>
      </c>
      <c r="Y20" s="36">
        <v>40</v>
      </c>
      <c r="Z20" s="63">
        <f>$F20*Y20</f>
        <v>6920</v>
      </c>
    </row>
    <row r="21" spans="1:26" ht="30" x14ac:dyDescent="0.25">
      <c r="A21" s="234" t="s">
        <v>1440</v>
      </c>
      <c r="B21">
        <v>367</v>
      </c>
      <c r="C21" s="121" t="s">
        <v>963</v>
      </c>
      <c r="D21" t="s">
        <v>962</v>
      </c>
      <c r="E21" s="153">
        <f t="shared" si="0"/>
        <v>0</v>
      </c>
      <c r="F21" s="348">
        <f t="shared" si="1"/>
        <v>91.8</v>
      </c>
      <c r="G21" s="410">
        <f t="shared" si="2"/>
        <v>0</v>
      </c>
      <c r="H21" s="6" t="s">
        <v>175</v>
      </c>
      <c r="I21"/>
      <c r="J21" s="122">
        <v>91.8</v>
      </c>
      <c r="K21"/>
      <c r="L21"/>
      <c r="M21"/>
      <c r="N21"/>
      <c r="O21"/>
      <c r="P21"/>
      <c r="R21"/>
      <c r="T21"/>
      <c r="V21"/>
      <c r="X21"/>
      <c r="Z21"/>
    </row>
    <row r="22" spans="1:26" x14ac:dyDescent="0.25">
      <c r="A22" s="234" t="s">
        <v>1441</v>
      </c>
      <c r="B22" s="118"/>
      <c r="C22" s="235" t="s">
        <v>68</v>
      </c>
      <c r="D22" s="118" t="s">
        <v>66</v>
      </c>
      <c r="E22" s="153">
        <f t="shared" si="0"/>
        <v>280</v>
      </c>
      <c r="F22" s="348">
        <f t="shared" si="1"/>
        <v>148.85</v>
      </c>
      <c r="G22" s="410">
        <f t="shared" si="2"/>
        <v>41678</v>
      </c>
      <c r="H22" s="152" t="s">
        <v>1100</v>
      </c>
      <c r="I22" s="243">
        <v>149.25</v>
      </c>
      <c r="J22" s="31"/>
      <c r="K22" s="31">
        <v>175</v>
      </c>
      <c r="L22" s="31"/>
      <c r="M22" s="31">
        <v>112.55</v>
      </c>
      <c r="N22" s="31"/>
      <c r="O22" s="31"/>
      <c r="P22" s="31">
        <v>159</v>
      </c>
      <c r="Q22" s="27">
        <v>5</v>
      </c>
      <c r="R22" s="57">
        <f>$F22*Q22</f>
        <v>744.25</v>
      </c>
      <c r="S22" s="34">
        <v>100</v>
      </c>
      <c r="T22" s="60">
        <f>$F22*S22</f>
        <v>14885</v>
      </c>
      <c r="U22" s="35">
        <v>100</v>
      </c>
      <c r="V22" s="61">
        <f>$F22*U22</f>
        <v>14885</v>
      </c>
      <c r="W22" s="45">
        <v>35</v>
      </c>
      <c r="X22" s="62">
        <f>$F22*W22</f>
        <v>5209.75</v>
      </c>
      <c r="Y22" s="36">
        <v>40</v>
      </c>
      <c r="Z22" s="63">
        <f>$F22*Y22</f>
        <v>5954</v>
      </c>
    </row>
    <row r="23" spans="1:26" ht="30" x14ac:dyDescent="0.25">
      <c r="A23" s="234" t="s">
        <v>1442</v>
      </c>
      <c r="B23">
        <v>370</v>
      </c>
      <c r="C23" s="121" t="s">
        <v>964</v>
      </c>
      <c r="D23" t="s">
        <v>962</v>
      </c>
      <c r="E23" s="153">
        <f t="shared" si="0"/>
        <v>0</v>
      </c>
      <c r="F23" s="348">
        <f t="shared" si="1"/>
        <v>66.16</v>
      </c>
      <c r="G23" s="410">
        <f t="shared" si="2"/>
        <v>0</v>
      </c>
      <c r="H23" s="6" t="s">
        <v>175</v>
      </c>
      <c r="I23"/>
      <c r="J23" s="122">
        <v>66.16</v>
      </c>
      <c r="K23"/>
      <c r="L23"/>
      <c r="M23"/>
      <c r="N23"/>
      <c r="O23"/>
      <c r="P23"/>
      <c r="R23"/>
      <c r="T23"/>
      <c r="V23"/>
      <c r="X23"/>
      <c r="Z23"/>
    </row>
    <row r="24" spans="1:26" ht="45" x14ac:dyDescent="0.25">
      <c r="A24" s="234" t="s">
        <v>1443</v>
      </c>
      <c r="B24" s="142">
        <v>371</v>
      </c>
      <c r="C24" s="143" t="s">
        <v>779</v>
      </c>
      <c r="D24" s="142" t="s">
        <v>236</v>
      </c>
      <c r="E24" s="153">
        <f t="shared" si="0"/>
        <v>0</v>
      </c>
      <c r="F24" s="348">
        <f t="shared" si="1"/>
        <v>0.36</v>
      </c>
      <c r="G24" s="410">
        <f t="shared" si="2"/>
        <v>0</v>
      </c>
      <c r="H24" s="8" t="s">
        <v>175</v>
      </c>
      <c r="I24" s="142"/>
      <c r="J24" s="144">
        <v>0.36</v>
      </c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</row>
    <row r="25" spans="1:26" x14ac:dyDescent="0.25">
      <c r="A25" s="234" t="s">
        <v>1444</v>
      </c>
      <c r="B25">
        <v>34355</v>
      </c>
      <c r="C25" s="121" t="s">
        <v>1011</v>
      </c>
      <c r="D25" t="s">
        <v>236</v>
      </c>
      <c r="E25" s="153">
        <f t="shared" si="0"/>
        <v>0</v>
      </c>
      <c r="F25" s="348">
        <f t="shared" si="1"/>
        <v>1.1100000000000001</v>
      </c>
      <c r="G25" s="410">
        <f t="shared" si="2"/>
        <v>0</v>
      </c>
      <c r="H25" s="6" t="s">
        <v>175</v>
      </c>
      <c r="I25"/>
      <c r="J25" s="122">
        <v>1.1100000000000001</v>
      </c>
      <c r="K25"/>
      <c r="L25"/>
      <c r="M25"/>
      <c r="N25"/>
      <c r="O25"/>
      <c r="P25"/>
      <c r="R25"/>
      <c r="T25"/>
      <c r="V25"/>
      <c r="X25"/>
      <c r="Z25"/>
    </row>
    <row r="26" spans="1:26" x14ac:dyDescent="0.25">
      <c r="A26" s="234" t="s">
        <v>1445</v>
      </c>
      <c r="B26">
        <v>36886</v>
      </c>
      <c r="C26" s="121" t="s">
        <v>1012</v>
      </c>
      <c r="D26" t="s">
        <v>236</v>
      </c>
      <c r="E26" s="153">
        <f t="shared" si="0"/>
        <v>0</v>
      </c>
      <c r="F26" s="348">
        <f t="shared" si="1"/>
        <v>0.42</v>
      </c>
      <c r="G26" s="410">
        <f t="shared" si="2"/>
        <v>0</v>
      </c>
      <c r="H26" s="6" t="s">
        <v>175</v>
      </c>
      <c r="I26"/>
      <c r="J26" s="122">
        <v>0.42</v>
      </c>
      <c r="K26"/>
      <c r="L26"/>
      <c r="M26"/>
      <c r="N26"/>
      <c r="O26"/>
      <c r="P26"/>
      <c r="R26"/>
      <c r="T26"/>
      <c r="V26"/>
      <c r="X26"/>
      <c r="Z26"/>
    </row>
    <row r="27" spans="1:26" ht="30" x14ac:dyDescent="0.25">
      <c r="A27" s="234" t="s">
        <v>1446</v>
      </c>
      <c r="B27">
        <v>374</v>
      </c>
      <c r="C27" s="121" t="s">
        <v>780</v>
      </c>
      <c r="D27" t="s">
        <v>236</v>
      </c>
      <c r="E27" s="153">
        <f t="shared" si="0"/>
        <v>0</v>
      </c>
      <c r="F27" s="348">
        <f t="shared" si="1"/>
        <v>0.31</v>
      </c>
      <c r="G27" s="410">
        <f t="shared" si="2"/>
        <v>0</v>
      </c>
      <c r="H27" s="6" t="s">
        <v>175</v>
      </c>
      <c r="I27"/>
      <c r="J27" s="122">
        <v>0.31</v>
      </c>
      <c r="K27"/>
      <c r="L27"/>
      <c r="M27"/>
      <c r="N27"/>
      <c r="O27"/>
      <c r="P27"/>
      <c r="R27"/>
      <c r="T27"/>
      <c r="V27"/>
      <c r="X27"/>
      <c r="Z27"/>
    </row>
    <row r="28" spans="1:26" x14ac:dyDescent="0.25">
      <c r="A28" s="234" t="s">
        <v>1447</v>
      </c>
      <c r="B28" s="118"/>
      <c r="C28" s="235" t="s">
        <v>69</v>
      </c>
      <c r="D28" s="118" t="s">
        <v>1</v>
      </c>
      <c r="E28" s="153">
        <f t="shared" si="0"/>
        <v>330</v>
      </c>
      <c r="F28" s="348">
        <f t="shared" si="1"/>
        <v>9.6483333333333317</v>
      </c>
      <c r="G28" s="410">
        <f t="shared" si="2"/>
        <v>3183.9499999999994</v>
      </c>
      <c r="H28" s="152"/>
      <c r="I28" s="243">
        <v>10.59</v>
      </c>
      <c r="J28" s="31">
        <f>0.4*20</f>
        <v>8</v>
      </c>
      <c r="K28" s="31">
        <v>10</v>
      </c>
      <c r="L28" s="31">
        <v>9.19</v>
      </c>
      <c r="M28" s="31">
        <v>8.9</v>
      </c>
      <c r="N28" s="31"/>
      <c r="O28" s="31">
        <v>11.9</v>
      </c>
      <c r="P28" s="31">
        <v>9.9</v>
      </c>
      <c r="Q28" s="27">
        <v>20</v>
      </c>
      <c r="R28" s="57">
        <f>$F28*Q28</f>
        <v>192.96666666666664</v>
      </c>
      <c r="S28" s="34">
        <v>70</v>
      </c>
      <c r="T28" s="60">
        <f>$F28*S28</f>
        <v>675.38333333333321</v>
      </c>
      <c r="U28" s="35">
        <v>100</v>
      </c>
      <c r="V28" s="61">
        <f>$F28*U28</f>
        <v>964.83333333333314</v>
      </c>
      <c r="W28" s="45">
        <v>100</v>
      </c>
      <c r="X28" s="62">
        <f>$F28*W28</f>
        <v>964.83333333333314</v>
      </c>
      <c r="Y28" s="36">
        <v>40</v>
      </c>
      <c r="Z28" s="63">
        <f>$F28*Y28</f>
        <v>385.93333333333328</v>
      </c>
    </row>
    <row r="29" spans="1:26" x14ac:dyDescent="0.25">
      <c r="A29" s="234" t="s">
        <v>1448</v>
      </c>
      <c r="B29" s="234"/>
      <c r="C29" s="235" t="s">
        <v>189</v>
      </c>
      <c r="D29" s="118" t="s">
        <v>1</v>
      </c>
      <c r="E29" s="153">
        <f t="shared" si="0"/>
        <v>360</v>
      </c>
      <c r="F29" s="348">
        <f t="shared" si="1"/>
        <v>30.824999999999999</v>
      </c>
      <c r="G29" s="410">
        <f t="shared" si="2"/>
        <v>11097</v>
      </c>
      <c r="H29" s="152"/>
      <c r="I29" s="243">
        <f>13.15*2</f>
        <v>26.3</v>
      </c>
      <c r="J29" s="31">
        <f>1.22*20</f>
        <v>24.4</v>
      </c>
      <c r="K29" s="31">
        <v>29.8</v>
      </c>
      <c r="L29" s="31">
        <v>24.9</v>
      </c>
      <c r="M29" s="31">
        <v>31.45</v>
      </c>
      <c r="N29" s="31"/>
      <c r="O29" s="31">
        <v>39.9</v>
      </c>
      <c r="P29" s="31">
        <v>34.5</v>
      </c>
      <c r="Q29" s="27">
        <v>20</v>
      </c>
      <c r="R29" s="57">
        <f>$F29*Q29</f>
        <v>616.5</v>
      </c>
      <c r="S29" s="34">
        <v>50</v>
      </c>
      <c r="T29" s="60">
        <f>$F29*S29</f>
        <v>1541.25</v>
      </c>
      <c r="U29" s="35">
        <v>100</v>
      </c>
      <c r="V29" s="61">
        <f>$F29*U29</f>
        <v>3082.5</v>
      </c>
      <c r="W29" s="45">
        <v>150</v>
      </c>
      <c r="X29" s="62">
        <f>$F29*W29</f>
        <v>4623.75</v>
      </c>
      <c r="Y29" s="36">
        <v>40</v>
      </c>
      <c r="Z29" s="63">
        <f>$F29*Y29</f>
        <v>1233</v>
      </c>
    </row>
    <row r="30" spans="1:26" ht="30" x14ac:dyDescent="0.25">
      <c r="A30" s="234" t="s">
        <v>1449</v>
      </c>
      <c r="B30">
        <v>38546</v>
      </c>
      <c r="C30" s="121" t="s">
        <v>1013</v>
      </c>
      <c r="D30" t="s">
        <v>962</v>
      </c>
      <c r="E30" s="153">
        <f t="shared" si="0"/>
        <v>0</v>
      </c>
      <c r="F30" s="348">
        <f t="shared" si="1"/>
        <v>357.59</v>
      </c>
      <c r="G30" s="410">
        <f t="shared" si="2"/>
        <v>0</v>
      </c>
      <c r="H30" s="6" t="s">
        <v>175</v>
      </c>
      <c r="I30"/>
      <c r="J30" s="122">
        <v>357.59</v>
      </c>
      <c r="K30"/>
      <c r="L30"/>
      <c r="M30"/>
      <c r="N30"/>
      <c r="O30"/>
      <c r="P30"/>
      <c r="R30"/>
      <c r="T30"/>
      <c r="V30"/>
      <c r="X30"/>
      <c r="Z30"/>
    </row>
    <row r="31" spans="1:26" x14ac:dyDescent="0.25">
      <c r="A31" s="234" t="s">
        <v>1450</v>
      </c>
      <c r="B31" s="118"/>
      <c r="C31" s="236" t="s">
        <v>70</v>
      </c>
      <c r="D31" s="118" t="s">
        <v>66</v>
      </c>
      <c r="E31" s="153">
        <f t="shared" si="0"/>
        <v>760</v>
      </c>
      <c r="F31" s="348">
        <f t="shared" si="1"/>
        <v>16.484999999999999</v>
      </c>
      <c r="G31" s="410">
        <f t="shared" si="2"/>
        <v>12528.6</v>
      </c>
      <c r="H31" s="152"/>
      <c r="I31" s="243">
        <v>19</v>
      </c>
      <c r="J31" s="31"/>
      <c r="K31" s="31">
        <v>13.9</v>
      </c>
      <c r="L31" s="31">
        <v>19.39</v>
      </c>
      <c r="M31" s="31"/>
      <c r="N31" s="31">
        <v>14.9</v>
      </c>
      <c r="O31" s="31"/>
      <c r="P31" s="31">
        <v>17.75</v>
      </c>
      <c r="Q31" s="27">
        <v>20</v>
      </c>
      <c r="R31" s="57">
        <f t="shared" ref="R31:R36" si="8">$F31*Q31</f>
        <v>329.7</v>
      </c>
      <c r="S31" s="34">
        <v>300</v>
      </c>
      <c r="T31" s="60">
        <f t="shared" ref="T31:T36" si="9">$F31*S31</f>
        <v>4945.5</v>
      </c>
      <c r="U31" s="35">
        <v>100</v>
      </c>
      <c r="V31" s="61">
        <f t="shared" ref="V31:V36" si="10">$F31*U31</f>
        <v>1648.5</v>
      </c>
      <c r="W31" s="45">
        <v>300</v>
      </c>
      <c r="X31" s="62">
        <f t="shared" ref="X31:X36" si="11">$F31*W31</f>
        <v>4945.5</v>
      </c>
      <c r="Y31" s="36">
        <v>40</v>
      </c>
      <c r="Z31" s="63">
        <f t="shared" ref="Z31:Z36" si="12">$F31*Y31</f>
        <v>659.4</v>
      </c>
    </row>
    <row r="32" spans="1:26" x14ac:dyDescent="0.25">
      <c r="A32" s="234" t="s">
        <v>1451</v>
      </c>
      <c r="B32" s="118"/>
      <c r="C32" s="235" t="s">
        <v>71</v>
      </c>
      <c r="D32" s="118" t="s">
        <v>1</v>
      </c>
      <c r="E32" s="153">
        <f t="shared" si="0"/>
        <v>185</v>
      </c>
      <c r="F32" s="348">
        <f t="shared" si="1"/>
        <v>185.34375</v>
      </c>
      <c r="G32" s="410">
        <f t="shared" si="2"/>
        <v>34288.59375</v>
      </c>
      <c r="H32" s="152"/>
      <c r="I32" s="243">
        <v>187.94</v>
      </c>
      <c r="J32" s="31"/>
      <c r="K32" s="31">
        <v>138</v>
      </c>
      <c r="L32" s="31">
        <f>(37.23/1.92)*12</f>
        <v>232.6875</v>
      </c>
      <c r="M32" s="31"/>
      <c r="N32" s="31"/>
      <c r="O32" s="31"/>
      <c r="P32" s="31"/>
      <c r="Q32" s="27">
        <v>20</v>
      </c>
      <c r="R32" s="57">
        <f t="shared" si="8"/>
        <v>3706.875</v>
      </c>
      <c r="S32" s="34">
        <v>50</v>
      </c>
      <c r="T32" s="60">
        <f t="shared" si="9"/>
        <v>9267.1875</v>
      </c>
      <c r="U32" s="35">
        <v>25</v>
      </c>
      <c r="V32" s="61">
        <f t="shared" si="10"/>
        <v>4633.59375</v>
      </c>
      <c r="W32" s="45">
        <v>50</v>
      </c>
      <c r="X32" s="62">
        <f t="shared" si="11"/>
        <v>9267.1875</v>
      </c>
      <c r="Y32" s="36">
        <v>40</v>
      </c>
      <c r="Z32" s="63">
        <f t="shared" si="12"/>
        <v>7413.75</v>
      </c>
    </row>
    <row r="33" spans="1:28" x14ac:dyDescent="0.25">
      <c r="A33" s="234" t="s">
        <v>1452</v>
      </c>
      <c r="B33" s="118"/>
      <c r="C33" s="235" t="s">
        <v>72</v>
      </c>
      <c r="D33" s="118" t="s">
        <v>1</v>
      </c>
      <c r="E33" s="153">
        <f t="shared" si="0"/>
        <v>170</v>
      </c>
      <c r="F33" s="348">
        <f t="shared" si="1"/>
        <v>28.224999999999998</v>
      </c>
      <c r="G33" s="410">
        <f t="shared" si="2"/>
        <v>4798.25</v>
      </c>
      <c r="H33" s="152"/>
      <c r="I33" s="243">
        <v>30.24</v>
      </c>
      <c r="J33" s="31"/>
      <c r="K33" s="31">
        <v>27.9</v>
      </c>
      <c r="L33" s="31">
        <v>27.9</v>
      </c>
      <c r="M33" s="31">
        <v>23.9</v>
      </c>
      <c r="N33" s="31"/>
      <c r="O33" s="31"/>
      <c r="P33" s="31">
        <v>33.200000000000003</v>
      </c>
      <c r="Q33" s="27">
        <v>20</v>
      </c>
      <c r="R33" s="57">
        <f t="shared" si="8"/>
        <v>564.5</v>
      </c>
      <c r="S33" s="34">
        <v>50</v>
      </c>
      <c r="T33" s="60">
        <f t="shared" si="9"/>
        <v>1411.25</v>
      </c>
      <c r="U33" s="35">
        <v>20</v>
      </c>
      <c r="V33" s="61">
        <f t="shared" si="10"/>
        <v>564.5</v>
      </c>
      <c r="W33" s="45">
        <v>40</v>
      </c>
      <c r="X33" s="62">
        <f t="shared" si="11"/>
        <v>1129</v>
      </c>
      <c r="Y33" s="36">
        <v>40</v>
      </c>
      <c r="Z33" s="63">
        <f t="shared" si="12"/>
        <v>1129</v>
      </c>
    </row>
    <row r="34" spans="1:28" x14ac:dyDescent="0.25">
      <c r="A34" s="234" t="s">
        <v>1453</v>
      </c>
      <c r="B34" s="234"/>
      <c r="C34" s="235" t="s">
        <v>73</v>
      </c>
      <c r="D34" s="118" t="s">
        <v>1</v>
      </c>
      <c r="E34" s="153">
        <f t="shared" si="0"/>
        <v>235</v>
      </c>
      <c r="F34" s="348">
        <f t="shared" si="1"/>
        <v>8.5425000000000004</v>
      </c>
      <c r="G34" s="410">
        <f t="shared" si="2"/>
        <v>2007.4875</v>
      </c>
      <c r="H34" s="152"/>
      <c r="I34" s="243">
        <v>9.39</v>
      </c>
      <c r="J34" s="31"/>
      <c r="K34" s="31">
        <v>8.34</v>
      </c>
      <c r="L34" s="31">
        <v>7.69</v>
      </c>
      <c r="M34" s="31">
        <v>7.54</v>
      </c>
      <c r="N34" s="31"/>
      <c r="O34" s="31"/>
      <c r="P34" s="31">
        <v>10.6</v>
      </c>
      <c r="Q34" s="27">
        <v>20</v>
      </c>
      <c r="R34" s="57">
        <f t="shared" si="8"/>
        <v>170.85000000000002</v>
      </c>
      <c r="S34" s="34">
        <v>50</v>
      </c>
      <c r="T34" s="60">
        <f t="shared" si="9"/>
        <v>427.125</v>
      </c>
      <c r="U34" s="35">
        <v>25</v>
      </c>
      <c r="V34" s="61">
        <f t="shared" si="10"/>
        <v>213.5625</v>
      </c>
      <c r="W34" s="45">
        <v>100</v>
      </c>
      <c r="X34" s="62">
        <f t="shared" si="11"/>
        <v>854.25</v>
      </c>
      <c r="Y34" s="36">
        <v>40</v>
      </c>
      <c r="Z34" s="63">
        <f t="shared" si="12"/>
        <v>341.70000000000005</v>
      </c>
    </row>
    <row r="35" spans="1:28" x14ac:dyDescent="0.25">
      <c r="A35" s="234" t="s">
        <v>1454</v>
      </c>
      <c r="B35" s="118"/>
      <c r="C35" s="14" t="s">
        <v>74</v>
      </c>
      <c r="D35" s="118" t="s">
        <v>1</v>
      </c>
      <c r="E35" s="153">
        <f t="shared" si="0"/>
        <v>8000</v>
      </c>
      <c r="F35" s="348">
        <f t="shared" si="1"/>
        <v>3.856666666666666</v>
      </c>
      <c r="G35" s="410">
        <f t="shared" si="2"/>
        <v>30853.333333333328</v>
      </c>
      <c r="H35" s="152"/>
      <c r="I35" s="243">
        <v>3.8</v>
      </c>
      <c r="J35" s="31">
        <v>4.38</v>
      </c>
      <c r="K35" s="31">
        <v>4</v>
      </c>
      <c r="L35" s="31">
        <v>3.19</v>
      </c>
      <c r="M35" s="31"/>
      <c r="N35" s="31"/>
      <c r="O35" s="31"/>
      <c r="P35" s="31"/>
      <c r="Q35" s="27">
        <v>500</v>
      </c>
      <c r="R35" s="57">
        <f t="shared" si="8"/>
        <v>1928.333333333333</v>
      </c>
      <c r="S35" s="34">
        <v>2000</v>
      </c>
      <c r="T35" s="60">
        <f t="shared" si="9"/>
        <v>7713.3333333333321</v>
      </c>
      <c r="U35" s="39">
        <v>2500</v>
      </c>
      <c r="V35" s="61">
        <f t="shared" si="10"/>
        <v>9641.6666666666642</v>
      </c>
      <c r="W35" s="45">
        <v>2000</v>
      </c>
      <c r="X35" s="62">
        <f t="shared" si="11"/>
        <v>7713.3333333333321</v>
      </c>
      <c r="Y35" s="36">
        <v>1000</v>
      </c>
      <c r="Z35" s="63">
        <f t="shared" si="12"/>
        <v>3856.6666666666661</v>
      </c>
    </row>
    <row r="36" spans="1:28" x14ac:dyDescent="0.25">
      <c r="A36" s="234" t="s">
        <v>1455</v>
      </c>
      <c r="B36" s="118"/>
      <c r="C36" s="14" t="s">
        <v>75</v>
      </c>
      <c r="D36" s="118" t="s">
        <v>1</v>
      </c>
      <c r="E36" s="153">
        <f t="shared" si="0"/>
        <v>3700</v>
      </c>
      <c r="F36" s="348">
        <f t="shared" si="1"/>
        <v>3.5400000000000005</v>
      </c>
      <c r="G36" s="410">
        <f t="shared" si="2"/>
        <v>13098.000000000002</v>
      </c>
      <c r="H36" s="152"/>
      <c r="I36" s="243">
        <v>4.6900000000000004</v>
      </c>
      <c r="J36" s="31">
        <v>2.73</v>
      </c>
      <c r="K36" s="31">
        <v>4</v>
      </c>
      <c r="L36" s="31"/>
      <c r="M36" s="31"/>
      <c r="N36" s="31"/>
      <c r="O36" s="31"/>
      <c r="P36" s="31">
        <v>3.89</v>
      </c>
      <c r="Q36" s="27">
        <v>500</v>
      </c>
      <c r="R36" s="57">
        <f t="shared" si="8"/>
        <v>1770.0000000000002</v>
      </c>
      <c r="S36" s="34">
        <v>1000</v>
      </c>
      <c r="T36" s="60">
        <f t="shared" si="9"/>
        <v>3540.0000000000005</v>
      </c>
      <c r="U36" s="39">
        <v>1000</v>
      </c>
      <c r="V36" s="61">
        <f t="shared" si="10"/>
        <v>3540.0000000000005</v>
      </c>
      <c r="W36" s="45">
        <v>1000</v>
      </c>
      <c r="X36" s="62">
        <f t="shared" si="11"/>
        <v>3540.0000000000005</v>
      </c>
      <c r="Y36" s="36">
        <v>200</v>
      </c>
      <c r="Z36" s="63">
        <f t="shared" si="12"/>
        <v>708.00000000000011</v>
      </c>
    </row>
    <row r="37" spans="1:28" ht="45" x14ac:dyDescent="0.25">
      <c r="A37" s="234" t="s">
        <v>1456</v>
      </c>
      <c r="B37">
        <v>40517</v>
      </c>
      <c r="C37" s="121" t="s">
        <v>1014</v>
      </c>
      <c r="D37" t="s">
        <v>572</v>
      </c>
      <c r="E37" s="153">
        <f t="shared" si="0"/>
        <v>0</v>
      </c>
      <c r="F37" s="348">
        <f t="shared" ref="F37:F68" si="13">IF(H37="SINAPI",J37,AVERAGE(J37:P37))</f>
        <v>39.78</v>
      </c>
      <c r="G37" s="410">
        <f t="shared" si="2"/>
        <v>0</v>
      </c>
      <c r="H37" s="6" t="s">
        <v>175</v>
      </c>
      <c r="I37"/>
      <c r="J37" s="122">
        <v>39.78</v>
      </c>
      <c r="K37"/>
      <c r="L37"/>
      <c r="M37"/>
      <c r="N37"/>
      <c r="O37"/>
      <c r="P37"/>
      <c r="R37"/>
      <c r="T37"/>
      <c r="V37"/>
      <c r="X37"/>
      <c r="Z37"/>
    </row>
    <row r="38" spans="1:28" ht="45" x14ac:dyDescent="0.25">
      <c r="A38" s="234" t="s">
        <v>1457</v>
      </c>
      <c r="B38">
        <v>40520</v>
      </c>
      <c r="C38" s="121" t="s">
        <v>1015</v>
      </c>
      <c r="D38" t="s">
        <v>572</v>
      </c>
      <c r="E38" s="153">
        <f t="shared" si="0"/>
        <v>0</v>
      </c>
      <c r="F38" s="348">
        <f t="shared" si="13"/>
        <v>41.68</v>
      </c>
      <c r="G38" s="410">
        <f t="shared" si="2"/>
        <v>0</v>
      </c>
      <c r="H38" s="6" t="s">
        <v>175</v>
      </c>
      <c r="I38"/>
      <c r="J38" s="122">
        <v>41.68</v>
      </c>
      <c r="K38"/>
      <c r="L38"/>
      <c r="M38"/>
      <c r="N38"/>
      <c r="O38"/>
      <c r="P38"/>
      <c r="R38"/>
      <c r="T38"/>
      <c r="V38"/>
      <c r="X38"/>
      <c r="Z38"/>
    </row>
    <row r="39" spans="1:28" ht="45" x14ac:dyDescent="0.25">
      <c r="A39" s="234" t="s">
        <v>1458</v>
      </c>
      <c r="B39">
        <v>40515</v>
      </c>
      <c r="C39" s="121" t="s">
        <v>1016</v>
      </c>
      <c r="D39" t="s">
        <v>572</v>
      </c>
      <c r="E39" s="153">
        <f t="shared" si="0"/>
        <v>0</v>
      </c>
      <c r="F39" s="348">
        <f t="shared" si="13"/>
        <v>50.32</v>
      </c>
      <c r="G39" s="410">
        <f t="shared" si="2"/>
        <v>0</v>
      </c>
      <c r="H39" s="6" t="s">
        <v>175</v>
      </c>
      <c r="I39"/>
      <c r="J39" s="122">
        <v>50.32</v>
      </c>
      <c r="K39"/>
      <c r="L39"/>
      <c r="M39"/>
      <c r="N39"/>
      <c r="O39"/>
      <c r="P39"/>
      <c r="R39"/>
      <c r="T39"/>
      <c r="V39"/>
      <c r="X39"/>
      <c r="Z39"/>
    </row>
    <row r="40" spans="1:28" ht="75" x14ac:dyDescent="0.25">
      <c r="A40" s="234" t="s">
        <v>1459</v>
      </c>
      <c r="B40">
        <v>40529</v>
      </c>
      <c r="C40" s="121" t="s">
        <v>1017</v>
      </c>
      <c r="D40" t="s">
        <v>572</v>
      </c>
      <c r="E40" s="153">
        <f t="shared" si="0"/>
        <v>0</v>
      </c>
      <c r="F40" s="348">
        <f t="shared" si="13"/>
        <v>46.79</v>
      </c>
      <c r="G40" s="410">
        <f t="shared" si="2"/>
        <v>0</v>
      </c>
      <c r="H40" s="6" t="s">
        <v>175</v>
      </c>
      <c r="I40"/>
      <c r="J40" s="122">
        <v>46.79</v>
      </c>
      <c r="K40"/>
      <c r="L40"/>
      <c r="M40"/>
      <c r="N40"/>
      <c r="O40"/>
      <c r="P40"/>
      <c r="R40"/>
      <c r="T40"/>
      <c r="V40"/>
      <c r="X40"/>
      <c r="Z40"/>
    </row>
    <row r="41" spans="1:28" ht="75" x14ac:dyDescent="0.25">
      <c r="A41" s="234" t="s">
        <v>1460</v>
      </c>
      <c r="B41">
        <v>36170</v>
      </c>
      <c r="C41" s="121" t="s">
        <v>1018</v>
      </c>
      <c r="D41" t="s">
        <v>572</v>
      </c>
      <c r="E41" s="153">
        <f t="shared" si="0"/>
        <v>0</v>
      </c>
      <c r="F41" s="348">
        <f t="shared" si="13"/>
        <v>35.049999999999997</v>
      </c>
      <c r="G41" s="410">
        <f t="shared" si="2"/>
        <v>0</v>
      </c>
      <c r="H41" s="6" t="s">
        <v>175</v>
      </c>
      <c r="I41"/>
      <c r="J41" s="122">
        <v>35.049999999999997</v>
      </c>
      <c r="K41"/>
      <c r="L41"/>
      <c r="M41"/>
      <c r="N41"/>
      <c r="O41"/>
      <c r="P41"/>
      <c r="R41"/>
      <c r="T41"/>
      <c r="V41"/>
      <c r="X41"/>
      <c r="Z41"/>
    </row>
    <row r="42" spans="1:28" ht="75" x14ac:dyDescent="0.25">
      <c r="A42" s="234" t="s">
        <v>1461</v>
      </c>
      <c r="B42">
        <v>40524</v>
      </c>
      <c r="C42" s="121" t="s">
        <v>1019</v>
      </c>
      <c r="D42" t="s">
        <v>572</v>
      </c>
      <c r="E42" s="153">
        <f t="shared" si="0"/>
        <v>0</v>
      </c>
      <c r="F42" s="348">
        <f t="shared" si="13"/>
        <v>42.62</v>
      </c>
      <c r="G42" s="410">
        <f t="shared" si="2"/>
        <v>0</v>
      </c>
      <c r="H42" s="6" t="s">
        <v>175</v>
      </c>
      <c r="I42"/>
      <c r="J42" s="122">
        <v>42.62</v>
      </c>
      <c r="K42"/>
      <c r="L42"/>
      <c r="M42"/>
      <c r="N42"/>
      <c r="O42"/>
      <c r="P42"/>
      <c r="R42"/>
      <c r="T42"/>
      <c r="V42"/>
      <c r="X42"/>
      <c r="Z42"/>
    </row>
    <row r="43" spans="1:28" ht="75" x14ac:dyDescent="0.25">
      <c r="A43" s="234" t="s">
        <v>1462</v>
      </c>
      <c r="B43">
        <v>36156</v>
      </c>
      <c r="C43" s="121" t="s">
        <v>1020</v>
      </c>
      <c r="D43" t="s">
        <v>572</v>
      </c>
      <c r="E43" s="153">
        <f t="shared" si="0"/>
        <v>0</v>
      </c>
      <c r="F43" s="348">
        <f t="shared" si="13"/>
        <v>36.94</v>
      </c>
      <c r="G43" s="410">
        <f t="shared" si="2"/>
        <v>0</v>
      </c>
      <c r="H43" s="6" t="s">
        <v>175</v>
      </c>
      <c r="I43"/>
      <c r="J43" s="122">
        <v>36.94</v>
      </c>
      <c r="K43"/>
      <c r="L43"/>
      <c r="M43"/>
      <c r="N43"/>
      <c r="O43"/>
      <c r="P43"/>
      <c r="R43"/>
      <c r="T43"/>
      <c r="V43"/>
      <c r="X43"/>
      <c r="Z43"/>
    </row>
    <row r="44" spans="1:28" ht="75" x14ac:dyDescent="0.25">
      <c r="A44" s="234" t="s">
        <v>1463</v>
      </c>
      <c r="B44">
        <v>36154</v>
      </c>
      <c r="C44" s="121" t="s">
        <v>1021</v>
      </c>
      <c r="D44" t="s">
        <v>572</v>
      </c>
      <c r="E44" s="153">
        <f t="shared" si="0"/>
        <v>0</v>
      </c>
      <c r="F44" s="348">
        <f t="shared" si="13"/>
        <v>43.48</v>
      </c>
      <c r="G44" s="410">
        <f t="shared" si="2"/>
        <v>0</v>
      </c>
      <c r="H44" s="6" t="s">
        <v>175</v>
      </c>
      <c r="I44"/>
      <c r="J44" s="122">
        <v>43.48</v>
      </c>
      <c r="K44"/>
      <c r="L44"/>
      <c r="M44"/>
      <c r="N44"/>
      <c r="O44"/>
      <c r="P44"/>
      <c r="R44"/>
      <c r="T44"/>
      <c r="V44"/>
      <c r="X44"/>
      <c r="Z44"/>
    </row>
    <row r="45" spans="1:28" ht="45" x14ac:dyDescent="0.25">
      <c r="A45" s="234" t="s">
        <v>1464</v>
      </c>
      <c r="B45">
        <v>695</v>
      </c>
      <c r="C45" s="121" t="s">
        <v>1022</v>
      </c>
      <c r="D45" t="s">
        <v>572</v>
      </c>
      <c r="E45" s="153">
        <f t="shared" si="0"/>
        <v>0</v>
      </c>
      <c r="F45" s="348">
        <f t="shared" si="13"/>
        <v>32.14</v>
      </c>
      <c r="G45" s="410">
        <f t="shared" si="2"/>
        <v>0</v>
      </c>
      <c r="H45" s="6" t="s">
        <v>175</v>
      </c>
      <c r="I45"/>
      <c r="J45" s="122">
        <v>32.14</v>
      </c>
      <c r="K45"/>
      <c r="L45"/>
      <c r="M45"/>
      <c r="N45"/>
      <c r="O45"/>
      <c r="P45"/>
      <c r="R45"/>
      <c r="T45"/>
      <c r="V45"/>
      <c r="X45"/>
      <c r="Z45"/>
    </row>
    <row r="46" spans="1:28" ht="45" x14ac:dyDescent="0.25">
      <c r="A46" s="234" t="s">
        <v>1465</v>
      </c>
      <c r="B46">
        <v>679</v>
      </c>
      <c r="C46" s="121" t="s">
        <v>1023</v>
      </c>
      <c r="D46" t="s">
        <v>572</v>
      </c>
      <c r="E46" s="153">
        <f t="shared" si="0"/>
        <v>0</v>
      </c>
      <c r="F46" s="348">
        <f t="shared" si="13"/>
        <v>44.04</v>
      </c>
      <c r="G46" s="410">
        <f t="shared" si="2"/>
        <v>0</v>
      </c>
      <c r="H46" s="6" t="s">
        <v>175</v>
      </c>
      <c r="I46"/>
      <c r="J46" s="122">
        <v>44.04</v>
      </c>
      <c r="K46"/>
      <c r="L46"/>
      <c r="M46"/>
      <c r="N46"/>
      <c r="O46"/>
      <c r="P46"/>
      <c r="R46"/>
      <c r="T46"/>
      <c r="V46"/>
      <c r="X46"/>
      <c r="Z46"/>
    </row>
    <row r="47" spans="1:28" x14ac:dyDescent="0.25">
      <c r="A47" s="234" t="s">
        <v>1466</v>
      </c>
      <c r="B47" s="119"/>
      <c r="C47" s="180" t="s">
        <v>133</v>
      </c>
      <c r="D47" s="177" t="s">
        <v>1</v>
      </c>
      <c r="E47" s="153">
        <f t="shared" si="0"/>
        <v>20</v>
      </c>
      <c r="F47" s="348">
        <f t="shared" si="13"/>
        <v>6.0100000000000007</v>
      </c>
      <c r="G47" s="410">
        <f t="shared" si="2"/>
        <v>120.20000000000002</v>
      </c>
      <c r="H47" s="229" t="s">
        <v>1100</v>
      </c>
      <c r="I47" s="231">
        <v>6.36</v>
      </c>
      <c r="J47" s="31"/>
      <c r="K47" s="31">
        <v>5.58</v>
      </c>
      <c r="L47" s="31"/>
      <c r="M47" s="31"/>
      <c r="N47" s="31"/>
      <c r="O47" s="31">
        <v>7.5</v>
      </c>
      <c r="P47" s="31">
        <v>4.95</v>
      </c>
      <c r="Q47" s="91">
        <v>2</v>
      </c>
      <c r="R47" s="71">
        <f t="shared" ref="R47:R56" si="14">$F47*Q47</f>
        <v>12.020000000000001</v>
      </c>
      <c r="S47" s="72">
        <v>5</v>
      </c>
      <c r="T47" s="73">
        <f t="shared" ref="T47:T56" si="15">$F47*S47</f>
        <v>30.050000000000004</v>
      </c>
      <c r="U47" s="92">
        <v>3</v>
      </c>
      <c r="V47" s="75">
        <f t="shared" ref="V47:V56" si="16">$F47*U47</f>
        <v>18.03</v>
      </c>
      <c r="W47" s="93">
        <v>5</v>
      </c>
      <c r="X47" s="77">
        <f t="shared" ref="X47:X56" si="17">$F47*W47</f>
        <v>30.050000000000004</v>
      </c>
      <c r="Y47" s="94">
        <v>5</v>
      </c>
      <c r="Z47" s="78">
        <f t="shared" ref="Z47:Z56" si="18">$F47*Y47</f>
        <v>30.050000000000004</v>
      </c>
      <c r="AA47" s="88"/>
      <c r="AB47" s="88"/>
    </row>
    <row r="48" spans="1:28" x14ac:dyDescent="0.25">
      <c r="A48" s="234" t="s">
        <v>1467</v>
      </c>
      <c r="B48" s="119"/>
      <c r="C48" s="180" t="s">
        <v>134</v>
      </c>
      <c r="D48" s="177" t="s">
        <v>1</v>
      </c>
      <c r="E48" s="153">
        <f t="shared" si="0"/>
        <v>20</v>
      </c>
      <c r="F48" s="348">
        <f t="shared" si="13"/>
        <v>7.2</v>
      </c>
      <c r="G48" s="410">
        <f t="shared" si="2"/>
        <v>144</v>
      </c>
      <c r="H48" s="229" t="s">
        <v>1100</v>
      </c>
      <c r="I48" s="231">
        <v>9.1999999999999993</v>
      </c>
      <c r="J48" s="31"/>
      <c r="K48" s="31">
        <v>6.7</v>
      </c>
      <c r="L48" s="31"/>
      <c r="M48" s="31"/>
      <c r="N48" s="31"/>
      <c r="O48" s="31">
        <v>8.9</v>
      </c>
      <c r="P48" s="31">
        <v>6</v>
      </c>
      <c r="Q48" s="91">
        <v>2</v>
      </c>
      <c r="R48" s="71">
        <f t="shared" si="14"/>
        <v>14.4</v>
      </c>
      <c r="S48" s="72">
        <v>5</v>
      </c>
      <c r="T48" s="73">
        <f t="shared" si="15"/>
        <v>36</v>
      </c>
      <c r="U48" s="92">
        <v>3</v>
      </c>
      <c r="V48" s="75">
        <f t="shared" si="16"/>
        <v>21.6</v>
      </c>
      <c r="W48" s="93">
        <v>5</v>
      </c>
      <c r="X48" s="77">
        <f t="shared" si="17"/>
        <v>36</v>
      </c>
      <c r="Y48" s="94">
        <v>5</v>
      </c>
      <c r="Z48" s="78">
        <f t="shared" si="18"/>
        <v>36</v>
      </c>
      <c r="AA48" s="88"/>
      <c r="AB48" s="88"/>
    </row>
    <row r="49" spans="1:28" x14ac:dyDescent="0.25">
      <c r="A49" s="234" t="s">
        <v>1468</v>
      </c>
      <c r="B49" s="119"/>
      <c r="C49" s="180" t="s">
        <v>135</v>
      </c>
      <c r="D49" s="177" t="s">
        <v>1</v>
      </c>
      <c r="E49" s="153">
        <f t="shared" si="0"/>
        <v>20</v>
      </c>
      <c r="F49" s="348">
        <f t="shared" si="13"/>
        <v>10.343333333333334</v>
      </c>
      <c r="G49" s="410">
        <f t="shared" si="2"/>
        <v>206.86666666666667</v>
      </c>
      <c r="H49" s="229" t="s">
        <v>1100</v>
      </c>
      <c r="I49" s="231">
        <v>13.8</v>
      </c>
      <c r="J49" s="31"/>
      <c r="K49" s="31">
        <v>10.78</v>
      </c>
      <c r="L49" s="31"/>
      <c r="M49" s="31"/>
      <c r="N49" s="31"/>
      <c r="O49" s="31">
        <v>10.9</v>
      </c>
      <c r="P49" s="31">
        <v>9.35</v>
      </c>
      <c r="Q49" s="91">
        <v>2</v>
      </c>
      <c r="R49" s="71">
        <f t="shared" si="14"/>
        <v>20.686666666666667</v>
      </c>
      <c r="S49" s="72">
        <v>5</v>
      </c>
      <c r="T49" s="73">
        <f t="shared" si="15"/>
        <v>51.716666666666669</v>
      </c>
      <c r="U49" s="92">
        <v>3</v>
      </c>
      <c r="V49" s="75">
        <f t="shared" si="16"/>
        <v>31.03</v>
      </c>
      <c r="W49" s="93">
        <v>5</v>
      </c>
      <c r="X49" s="77">
        <f t="shared" si="17"/>
        <v>51.716666666666669</v>
      </c>
      <c r="Y49" s="94">
        <v>5</v>
      </c>
      <c r="Z49" s="78">
        <f t="shared" si="18"/>
        <v>51.716666666666669</v>
      </c>
      <c r="AA49" s="88"/>
      <c r="AB49" s="88"/>
    </row>
    <row r="50" spans="1:28" x14ac:dyDescent="0.25">
      <c r="A50" s="234" t="s">
        <v>1469</v>
      </c>
      <c r="B50" s="119"/>
      <c r="C50" s="180" t="s">
        <v>136</v>
      </c>
      <c r="D50" s="177" t="s">
        <v>1</v>
      </c>
      <c r="E50" s="153">
        <f t="shared" si="0"/>
        <v>20</v>
      </c>
      <c r="F50" s="348">
        <f t="shared" si="13"/>
        <v>14.273333333333333</v>
      </c>
      <c r="G50" s="410">
        <f t="shared" si="2"/>
        <v>285.4666666666667</v>
      </c>
      <c r="H50" s="229" t="s">
        <v>1100</v>
      </c>
      <c r="I50" s="231">
        <v>18.27</v>
      </c>
      <c r="J50" s="31"/>
      <c r="K50" s="31">
        <v>14.92</v>
      </c>
      <c r="L50" s="31"/>
      <c r="M50" s="31"/>
      <c r="N50" s="31"/>
      <c r="O50" s="31">
        <v>15.9</v>
      </c>
      <c r="P50" s="31">
        <v>12</v>
      </c>
      <c r="Q50" s="91">
        <v>2</v>
      </c>
      <c r="R50" s="71">
        <f t="shared" si="14"/>
        <v>28.546666666666667</v>
      </c>
      <c r="S50" s="72">
        <v>5</v>
      </c>
      <c r="T50" s="73">
        <f t="shared" si="15"/>
        <v>71.366666666666674</v>
      </c>
      <c r="U50" s="92">
        <v>3</v>
      </c>
      <c r="V50" s="75">
        <f t="shared" si="16"/>
        <v>42.82</v>
      </c>
      <c r="W50" s="93">
        <v>5</v>
      </c>
      <c r="X50" s="77">
        <f t="shared" si="17"/>
        <v>71.366666666666674</v>
      </c>
      <c r="Y50" s="94">
        <v>5</v>
      </c>
      <c r="Z50" s="78">
        <f t="shared" si="18"/>
        <v>71.366666666666674</v>
      </c>
      <c r="AA50" s="88"/>
      <c r="AB50" s="88"/>
    </row>
    <row r="51" spans="1:28" x14ac:dyDescent="0.25">
      <c r="A51" s="234" t="s">
        <v>1470</v>
      </c>
      <c r="B51" s="119"/>
      <c r="C51" s="180" t="s">
        <v>137</v>
      </c>
      <c r="D51" s="177" t="s">
        <v>1</v>
      </c>
      <c r="E51" s="153">
        <f t="shared" si="0"/>
        <v>20</v>
      </c>
      <c r="F51" s="348">
        <f t="shared" si="13"/>
        <v>6.5133333333333328</v>
      </c>
      <c r="G51" s="410">
        <f t="shared" si="2"/>
        <v>130.26666666666665</v>
      </c>
      <c r="H51" s="229" t="s">
        <v>1100</v>
      </c>
      <c r="I51" s="231">
        <v>6.57</v>
      </c>
      <c r="J51" s="31"/>
      <c r="K51" s="31">
        <v>5.54</v>
      </c>
      <c r="L51" s="31"/>
      <c r="M51" s="31"/>
      <c r="N51" s="31"/>
      <c r="O51" s="31">
        <v>8.5</v>
      </c>
      <c r="P51" s="31">
        <v>5.5</v>
      </c>
      <c r="Q51" s="91">
        <v>2</v>
      </c>
      <c r="R51" s="71">
        <f t="shared" si="14"/>
        <v>13.026666666666666</v>
      </c>
      <c r="S51" s="72">
        <v>5</v>
      </c>
      <c r="T51" s="73">
        <f t="shared" si="15"/>
        <v>32.566666666666663</v>
      </c>
      <c r="U51" s="92">
        <v>3</v>
      </c>
      <c r="V51" s="75">
        <f t="shared" si="16"/>
        <v>19.54</v>
      </c>
      <c r="W51" s="93">
        <v>5</v>
      </c>
      <c r="X51" s="77">
        <f t="shared" si="17"/>
        <v>32.566666666666663</v>
      </c>
      <c r="Y51" s="94">
        <v>5</v>
      </c>
      <c r="Z51" s="78">
        <f t="shared" si="18"/>
        <v>32.566666666666663</v>
      </c>
      <c r="AA51" s="88"/>
      <c r="AB51" s="88"/>
    </row>
    <row r="52" spans="1:28" x14ac:dyDescent="0.25">
      <c r="A52" s="234" t="s">
        <v>1471</v>
      </c>
      <c r="B52" s="177"/>
      <c r="C52" s="180" t="s">
        <v>138</v>
      </c>
      <c r="D52" s="177" t="s">
        <v>1</v>
      </c>
      <c r="E52" s="153">
        <f t="shared" si="0"/>
        <v>20</v>
      </c>
      <c r="F52" s="348">
        <f t="shared" si="13"/>
        <v>8.7899999999999991</v>
      </c>
      <c r="G52" s="410">
        <f t="shared" si="2"/>
        <v>175.79999999999998</v>
      </c>
      <c r="H52" s="229" t="s">
        <v>1100</v>
      </c>
      <c r="I52" s="231">
        <v>8.75</v>
      </c>
      <c r="J52" s="31"/>
      <c r="K52" s="31">
        <v>9.08</v>
      </c>
      <c r="L52" s="31"/>
      <c r="M52" s="31"/>
      <c r="N52" s="31"/>
      <c r="O52" s="31"/>
      <c r="P52" s="31">
        <v>8.5</v>
      </c>
      <c r="Q52" s="91">
        <v>2</v>
      </c>
      <c r="R52" s="71">
        <f t="shared" si="14"/>
        <v>17.579999999999998</v>
      </c>
      <c r="S52" s="72">
        <v>5</v>
      </c>
      <c r="T52" s="73">
        <f t="shared" si="15"/>
        <v>43.949999999999996</v>
      </c>
      <c r="U52" s="92">
        <v>3</v>
      </c>
      <c r="V52" s="75">
        <f t="shared" si="16"/>
        <v>26.369999999999997</v>
      </c>
      <c r="W52" s="93">
        <v>5</v>
      </c>
      <c r="X52" s="77">
        <f t="shared" si="17"/>
        <v>43.949999999999996</v>
      </c>
      <c r="Y52" s="94">
        <v>5</v>
      </c>
      <c r="Z52" s="78">
        <f t="shared" si="18"/>
        <v>43.949999999999996</v>
      </c>
      <c r="AA52" s="88"/>
      <c r="AB52" s="88"/>
    </row>
    <row r="53" spans="1:28" x14ac:dyDescent="0.25">
      <c r="A53" s="234" t="s">
        <v>1472</v>
      </c>
      <c r="B53" s="119"/>
      <c r="C53" s="180" t="s">
        <v>139</v>
      </c>
      <c r="D53" s="177" t="s">
        <v>1</v>
      </c>
      <c r="E53" s="153">
        <f t="shared" si="0"/>
        <v>20</v>
      </c>
      <c r="F53" s="348">
        <f t="shared" si="13"/>
        <v>16.12</v>
      </c>
      <c r="G53" s="410">
        <f t="shared" si="2"/>
        <v>322.40000000000003</v>
      </c>
      <c r="H53" s="229" t="s">
        <v>1100</v>
      </c>
      <c r="I53" s="231">
        <v>14.01</v>
      </c>
      <c r="J53" s="31"/>
      <c r="K53" s="31">
        <v>14.74</v>
      </c>
      <c r="L53" s="31"/>
      <c r="M53" s="31"/>
      <c r="N53" s="31"/>
      <c r="O53" s="31"/>
      <c r="P53" s="31">
        <v>17.5</v>
      </c>
      <c r="Q53" s="91">
        <v>2</v>
      </c>
      <c r="R53" s="71">
        <f t="shared" si="14"/>
        <v>32.24</v>
      </c>
      <c r="S53" s="72">
        <v>5</v>
      </c>
      <c r="T53" s="73">
        <f t="shared" si="15"/>
        <v>80.600000000000009</v>
      </c>
      <c r="U53" s="92">
        <v>3</v>
      </c>
      <c r="V53" s="75">
        <f t="shared" si="16"/>
        <v>48.36</v>
      </c>
      <c r="W53" s="93">
        <v>5</v>
      </c>
      <c r="X53" s="77">
        <f t="shared" si="17"/>
        <v>80.600000000000009</v>
      </c>
      <c r="Y53" s="94">
        <v>5</v>
      </c>
      <c r="Z53" s="78">
        <f t="shared" si="18"/>
        <v>80.600000000000009</v>
      </c>
      <c r="AA53" s="88"/>
      <c r="AB53" s="88"/>
    </row>
    <row r="54" spans="1:28" x14ac:dyDescent="0.25">
      <c r="A54" s="234" t="s">
        <v>1473</v>
      </c>
      <c r="B54" s="119"/>
      <c r="C54" s="180" t="s">
        <v>140</v>
      </c>
      <c r="D54" s="177" t="s">
        <v>1</v>
      </c>
      <c r="E54" s="153">
        <f t="shared" si="0"/>
        <v>20</v>
      </c>
      <c r="F54" s="348">
        <f t="shared" si="13"/>
        <v>21.363333333333333</v>
      </c>
      <c r="G54" s="410">
        <f t="shared" si="2"/>
        <v>427.26666666666665</v>
      </c>
      <c r="H54" s="229" t="s">
        <v>1100</v>
      </c>
      <c r="I54" s="231">
        <v>27.09</v>
      </c>
      <c r="J54" s="31"/>
      <c r="K54" s="31">
        <v>23.69</v>
      </c>
      <c r="L54" s="31"/>
      <c r="M54" s="31"/>
      <c r="N54" s="31"/>
      <c r="O54" s="31">
        <v>13.9</v>
      </c>
      <c r="P54" s="31">
        <v>26.5</v>
      </c>
      <c r="Q54" s="91">
        <v>2</v>
      </c>
      <c r="R54" s="71">
        <f t="shared" si="14"/>
        <v>42.726666666666667</v>
      </c>
      <c r="S54" s="72">
        <v>5</v>
      </c>
      <c r="T54" s="73">
        <f t="shared" si="15"/>
        <v>106.81666666666666</v>
      </c>
      <c r="U54" s="92">
        <v>3</v>
      </c>
      <c r="V54" s="75">
        <f t="shared" si="16"/>
        <v>64.09</v>
      </c>
      <c r="W54" s="93">
        <v>5</v>
      </c>
      <c r="X54" s="77">
        <f t="shared" si="17"/>
        <v>106.81666666666666</v>
      </c>
      <c r="Y54" s="94">
        <v>5</v>
      </c>
      <c r="Z54" s="78">
        <f t="shared" si="18"/>
        <v>106.81666666666666</v>
      </c>
      <c r="AA54" s="88"/>
      <c r="AB54" s="88"/>
    </row>
    <row r="55" spans="1:28" x14ac:dyDescent="0.25">
      <c r="A55" s="234" t="s">
        <v>1474</v>
      </c>
      <c r="B55" s="118"/>
      <c r="C55" s="235" t="s">
        <v>76</v>
      </c>
      <c r="D55" s="118" t="s">
        <v>1</v>
      </c>
      <c r="E55" s="153">
        <f t="shared" si="0"/>
        <v>770</v>
      </c>
      <c r="F55" s="348">
        <f t="shared" si="13"/>
        <v>0.25590000000000002</v>
      </c>
      <c r="G55" s="410">
        <f t="shared" si="2"/>
        <v>197.04300000000001</v>
      </c>
      <c r="H55" s="152"/>
      <c r="I55" s="243">
        <v>0.06</v>
      </c>
      <c r="J55" s="31">
        <v>0.11</v>
      </c>
      <c r="K55" s="31">
        <v>7.0000000000000007E-2</v>
      </c>
      <c r="L55" s="31">
        <f>6.29/20</f>
        <v>0.3145</v>
      </c>
      <c r="M55" s="31">
        <f>18.5/100</f>
        <v>0.185</v>
      </c>
      <c r="N55" s="31"/>
      <c r="O55" s="31"/>
      <c r="P55" s="31">
        <v>0.6</v>
      </c>
      <c r="Q55" s="27">
        <v>20</v>
      </c>
      <c r="R55" s="57">
        <f t="shared" si="14"/>
        <v>5.1180000000000003</v>
      </c>
      <c r="S55" s="34">
        <v>500</v>
      </c>
      <c r="T55" s="60">
        <f t="shared" si="15"/>
        <v>127.95</v>
      </c>
      <c r="U55" s="35">
        <v>50</v>
      </c>
      <c r="V55" s="61">
        <f t="shared" si="16"/>
        <v>12.795000000000002</v>
      </c>
      <c r="W55" s="45">
        <v>100</v>
      </c>
      <c r="X55" s="62">
        <f t="shared" si="17"/>
        <v>25.590000000000003</v>
      </c>
      <c r="Y55" s="36">
        <v>100</v>
      </c>
      <c r="Z55" s="63">
        <f t="shared" si="18"/>
        <v>25.590000000000003</v>
      </c>
    </row>
    <row r="56" spans="1:28" x14ac:dyDescent="0.25">
      <c r="A56" s="234" t="s">
        <v>1475</v>
      </c>
      <c r="B56" s="118"/>
      <c r="C56" s="235" t="s">
        <v>77</v>
      </c>
      <c r="D56" s="118" t="s">
        <v>1</v>
      </c>
      <c r="E56" s="153">
        <f t="shared" si="0"/>
        <v>770</v>
      </c>
      <c r="F56" s="348">
        <f t="shared" si="13"/>
        <v>0.44536666666666663</v>
      </c>
      <c r="G56" s="410">
        <f t="shared" si="2"/>
        <v>342.9323333333333</v>
      </c>
      <c r="H56" s="152"/>
      <c r="I56" s="243">
        <v>0.52</v>
      </c>
      <c r="J56" s="31">
        <v>0.4</v>
      </c>
      <c r="K56" s="31">
        <v>0.09</v>
      </c>
      <c r="L56" s="31">
        <f>15.9/250</f>
        <v>6.3600000000000004E-2</v>
      </c>
      <c r="M56" s="31">
        <f>26.43/50</f>
        <v>0.52859999999999996</v>
      </c>
      <c r="N56" s="31"/>
      <c r="O56" s="31">
        <f>14.9/10</f>
        <v>1.49</v>
      </c>
      <c r="P56" s="31">
        <v>0.1</v>
      </c>
      <c r="Q56" s="27">
        <v>20</v>
      </c>
      <c r="R56" s="57">
        <f t="shared" si="14"/>
        <v>8.907333333333332</v>
      </c>
      <c r="S56" s="34">
        <v>500</v>
      </c>
      <c r="T56" s="60">
        <f t="shared" si="15"/>
        <v>222.68333333333331</v>
      </c>
      <c r="U56" s="35">
        <v>50</v>
      </c>
      <c r="V56" s="61">
        <f t="shared" si="16"/>
        <v>22.268333333333331</v>
      </c>
      <c r="W56" s="45">
        <v>100</v>
      </c>
      <c r="X56" s="62">
        <f t="shared" si="17"/>
        <v>44.536666666666662</v>
      </c>
      <c r="Y56" s="36">
        <v>100</v>
      </c>
      <c r="Z56" s="63">
        <f t="shared" si="18"/>
        <v>44.536666666666662</v>
      </c>
    </row>
    <row r="57" spans="1:28" ht="45" x14ac:dyDescent="0.25">
      <c r="A57" s="234" t="s">
        <v>1476</v>
      </c>
      <c r="B57" s="142">
        <v>7568</v>
      </c>
      <c r="C57" s="143" t="s">
        <v>806</v>
      </c>
      <c r="D57" s="142" t="s">
        <v>229</v>
      </c>
      <c r="E57" s="153">
        <f t="shared" si="0"/>
        <v>0</v>
      </c>
      <c r="F57" s="348">
        <f t="shared" si="13"/>
        <v>0.61</v>
      </c>
      <c r="G57" s="410">
        <f t="shared" si="2"/>
        <v>0</v>
      </c>
      <c r="H57" s="8" t="s">
        <v>175</v>
      </c>
      <c r="I57" s="142"/>
      <c r="J57" s="144">
        <v>0.61</v>
      </c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</row>
    <row r="58" spans="1:28" ht="45" x14ac:dyDescent="0.25">
      <c r="A58" s="234" t="s">
        <v>1477</v>
      </c>
      <c r="B58" s="142">
        <v>7584</v>
      </c>
      <c r="C58" s="143" t="s">
        <v>807</v>
      </c>
      <c r="D58" s="142" t="s">
        <v>229</v>
      </c>
      <c r="E58" s="153">
        <f t="shared" si="0"/>
        <v>0</v>
      </c>
      <c r="F58" s="348">
        <f t="shared" si="13"/>
        <v>0.93</v>
      </c>
      <c r="G58" s="410">
        <f t="shared" si="2"/>
        <v>0</v>
      </c>
      <c r="H58" s="8" t="s">
        <v>175</v>
      </c>
      <c r="I58" s="142"/>
      <c r="J58" s="144">
        <v>0.93</v>
      </c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</row>
    <row r="59" spans="1:28" ht="45" x14ac:dyDescent="0.25">
      <c r="A59" s="234" t="s">
        <v>1478</v>
      </c>
      <c r="B59">
        <v>11950</v>
      </c>
      <c r="C59" s="121" t="s">
        <v>808</v>
      </c>
      <c r="D59" t="s">
        <v>229</v>
      </c>
      <c r="E59" s="153">
        <f t="shared" si="0"/>
        <v>0</v>
      </c>
      <c r="F59" s="348">
        <f t="shared" si="13"/>
        <v>0.2</v>
      </c>
      <c r="G59" s="410">
        <f t="shared" si="2"/>
        <v>0</v>
      </c>
      <c r="H59" s="6" t="s">
        <v>175</v>
      </c>
      <c r="I59"/>
      <c r="J59" s="122">
        <v>0.2</v>
      </c>
      <c r="K59"/>
      <c r="L59"/>
      <c r="M59"/>
      <c r="N59"/>
      <c r="O59"/>
      <c r="P59"/>
      <c r="R59"/>
      <c r="T59"/>
      <c r="V59"/>
      <c r="X59"/>
      <c r="Z59"/>
    </row>
    <row r="60" spans="1:28" ht="45" x14ac:dyDescent="0.25">
      <c r="A60" s="234" t="s">
        <v>1479</v>
      </c>
      <c r="B60" s="142">
        <v>7583</v>
      </c>
      <c r="C60" s="143" t="s">
        <v>809</v>
      </c>
      <c r="D60" s="142" t="s">
        <v>229</v>
      </c>
      <c r="E60" s="153">
        <f t="shared" si="0"/>
        <v>0</v>
      </c>
      <c r="F60" s="348">
        <f t="shared" si="13"/>
        <v>0.41</v>
      </c>
      <c r="G60" s="410">
        <f t="shared" si="2"/>
        <v>0</v>
      </c>
      <c r="H60" s="8" t="s">
        <v>175</v>
      </c>
      <c r="I60" s="142"/>
      <c r="J60" s="144">
        <v>0.41</v>
      </c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</row>
    <row r="61" spans="1:28" ht="45" x14ac:dyDescent="0.25">
      <c r="A61" s="234" t="s">
        <v>1480</v>
      </c>
      <c r="B61">
        <v>4350</v>
      </c>
      <c r="C61" s="121" t="s">
        <v>810</v>
      </c>
      <c r="D61" t="s">
        <v>229</v>
      </c>
      <c r="E61" s="153">
        <f t="shared" si="0"/>
        <v>0</v>
      </c>
      <c r="F61" s="348">
        <f t="shared" si="13"/>
        <v>0.34</v>
      </c>
      <c r="G61" s="410">
        <f t="shared" si="2"/>
        <v>0</v>
      </c>
      <c r="H61" s="6" t="s">
        <v>175</v>
      </c>
      <c r="I61"/>
      <c r="J61" s="122">
        <v>0.34</v>
      </c>
      <c r="K61"/>
      <c r="L61"/>
      <c r="M61"/>
      <c r="N61"/>
      <c r="O61"/>
      <c r="P61"/>
      <c r="R61"/>
      <c r="T61"/>
      <c r="V61"/>
      <c r="X61"/>
      <c r="Z61"/>
    </row>
    <row r="62" spans="1:28" x14ac:dyDescent="0.25">
      <c r="A62" s="234" t="s">
        <v>1481</v>
      </c>
      <c r="B62" s="234"/>
      <c r="C62" s="235" t="s">
        <v>78</v>
      </c>
      <c r="D62" s="234" t="s">
        <v>1</v>
      </c>
      <c r="E62" s="153">
        <f t="shared" si="0"/>
        <v>770</v>
      </c>
      <c r="F62" s="348">
        <f t="shared" si="13"/>
        <v>0.49056</v>
      </c>
      <c r="G62" s="410">
        <f t="shared" si="2"/>
        <v>377.7312</v>
      </c>
      <c r="H62" s="152"/>
      <c r="I62" s="243">
        <v>0.1</v>
      </c>
      <c r="J62" s="31">
        <v>0.21</v>
      </c>
      <c r="K62" s="31">
        <v>0.12</v>
      </c>
      <c r="L62" s="31">
        <f>16.4/500</f>
        <v>3.2799999999999996E-2</v>
      </c>
      <c r="M62" s="31"/>
      <c r="N62" s="31"/>
      <c r="O62" s="31">
        <f>12.9/10</f>
        <v>1.29</v>
      </c>
      <c r="P62" s="31">
        <v>0.8</v>
      </c>
      <c r="Q62" s="27">
        <v>20</v>
      </c>
      <c r="R62" s="57">
        <f>$F62*Q62</f>
        <v>9.8111999999999995</v>
      </c>
      <c r="S62" s="34">
        <v>500</v>
      </c>
      <c r="T62" s="60">
        <f>$F62*S62</f>
        <v>245.28</v>
      </c>
      <c r="U62" s="39">
        <v>50</v>
      </c>
      <c r="V62" s="61">
        <f>$F62*U62</f>
        <v>24.527999999999999</v>
      </c>
      <c r="W62" s="45">
        <v>100</v>
      </c>
      <c r="X62" s="62">
        <f>$F62*W62</f>
        <v>49.055999999999997</v>
      </c>
      <c r="Y62" s="36">
        <v>100</v>
      </c>
      <c r="Z62" s="63">
        <f>$F62*Y62</f>
        <v>49.055999999999997</v>
      </c>
    </row>
    <row r="63" spans="1:28" x14ac:dyDescent="0.25">
      <c r="A63" s="234" t="s">
        <v>1482</v>
      </c>
      <c r="B63" s="118"/>
      <c r="C63" s="14" t="s">
        <v>79</v>
      </c>
      <c r="D63" s="234" t="s">
        <v>1</v>
      </c>
      <c r="E63" s="153">
        <f t="shared" si="0"/>
        <v>95</v>
      </c>
      <c r="F63" s="348">
        <f t="shared" si="13"/>
        <v>21.201666666666668</v>
      </c>
      <c r="G63" s="410">
        <f t="shared" si="2"/>
        <v>2014.1583333333335</v>
      </c>
      <c r="H63" s="152"/>
      <c r="I63" s="243">
        <v>15.45</v>
      </c>
      <c r="J63" s="31">
        <v>16.079999999999998</v>
      </c>
      <c r="K63" s="31">
        <v>19</v>
      </c>
      <c r="L63" s="31">
        <v>17.489999999999998</v>
      </c>
      <c r="M63" s="31">
        <v>28.34</v>
      </c>
      <c r="N63" s="31"/>
      <c r="O63" s="31">
        <v>24.9</v>
      </c>
      <c r="P63" s="31">
        <v>21.4</v>
      </c>
      <c r="Q63" s="27">
        <v>5</v>
      </c>
      <c r="R63" s="57">
        <f>$F63*Q63</f>
        <v>106.00833333333334</v>
      </c>
      <c r="S63" s="34">
        <v>20</v>
      </c>
      <c r="T63" s="60">
        <f>$F63*S63</f>
        <v>424.03333333333336</v>
      </c>
      <c r="U63" s="35">
        <v>10</v>
      </c>
      <c r="V63" s="61">
        <f>$F63*U63</f>
        <v>212.01666666666668</v>
      </c>
      <c r="W63" s="45">
        <v>10</v>
      </c>
      <c r="X63" s="62">
        <f>$F63*W63</f>
        <v>212.01666666666668</v>
      </c>
      <c r="Y63" s="36">
        <v>50</v>
      </c>
      <c r="Z63" s="63">
        <f>$F63*Y63</f>
        <v>1060.0833333333335</v>
      </c>
    </row>
    <row r="64" spans="1:28" ht="30" x14ac:dyDescent="0.25">
      <c r="A64" s="234" t="s">
        <v>1483</v>
      </c>
      <c r="B64" s="142">
        <v>43104</v>
      </c>
      <c r="C64" s="143" t="s">
        <v>1024</v>
      </c>
      <c r="D64" s="142" t="s">
        <v>272</v>
      </c>
      <c r="E64" s="153">
        <f t="shared" si="0"/>
        <v>0</v>
      </c>
      <c r="F64" s="348">
        <f t="shared" si="13"/>
        <v>340.91</v>
      </c>
      <c r="G64" s="410">
        <f t="shared" si="2"/>
        <v>0</v>
      </c>
      <c r="H64" s="8" t="s">
        <v>175</v>
      </c>
      <c r="I64" s="142"/>
      <c r="J64" s="144">
        <v>340.91</v>
      </c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</row>
    <row r="65" spans="1:28" x14ac:dyDescent="0.25">
      <c r="A65" s="234" t="s">
        <v>1484</v>
      </c>
      <c r="B65" s="118"/>
      <c r="C65" s="237" t="s">
        <v>80</v>
      </c>
      <c r="D65" s="234" t="s">
        <v>1</v>
      </c>
      <c r="E65" s="153">
        <f t="shared" si="0"/>
        <v>190</v>
      </c>
      <c r="F65" s="348">
        <f t="shared" si="13"/>
        <v>10.44</v>
      </c>
      <c r="G65" s="410">
        <f t="shared" si="2"/>
        <v>1983.6</v>
      </c>
      <c r="H65" s="152"/>
      <c r="I65" s="243">
        <v>11.4</v>
      </c>
      <c r="J65" s="31">
        <f>0.53*20</f>
        <v>10.600000000000001</v>
      </c>
      <c r="K65" s="31">
        <v>12.75</v>
      </c>
      <c r="L65" s="31">
        <v>9.19</v>
      </c>
      <c r="M65" s="31">
        <v>8.9</v>
      </c>
      <c r="N65" s="31"/>
      <c r="O65" s="31">
        <v>10.9</v>
      </c>
      <c r="P65" s="31">
        <v>10.3</v>
      </c>
      <c r="Q65" s="27">
        <v>20</v>
      </c>
      <c r="R65" s="57">
        <f>$F65*Q65</f>
        <v>208.79999999999998</v>
      </c>
      <c r="S65" s="34">
        <v>100</v>
      </c>
      <c r="T65" s="60">
        <f>$F65*S65</f>
        <v>1044</v>
      </c>
      <c r="U65" s="35">
        <v>20</v>
      </c>
      <c r="V65" s="61">
        <f>$F65*U65</f>
        <v>208.79999999999998</v>
      </c>
      <c r="W65" s="45">
        <v>30</v>
      </c>
      <c r="X65" s="62">
        <f>$F65*W65</f>
        <v>313.2</v>
      </c>
      <c r="Y65" s="36">
        <v>20</v>
      </c>
      <c r="Z65" s="63">
        <f>$F65*Y65</f>
        <v>208.79999999999998</v>
      </c>
    </row>
    <row r="66" spans="1:28" x14ac:dyDescent="0.25">
      <c r="A66" s="234" t="s">
        <v>1485</v>
      </c>
      <c r="B66" s="118"/>
      <c r="C66" s="236" t="s">
        <v>81</v>
      </c>
      <c r="D66" s="234" t="s">
        <v>1</v>
      </c>
      <c r="E66" s="153">
        <f t="shared" si="0"/>
        <v>155</v>
      </c>
      <c r="F66" s="348">
        <f t="shared" si="13"/>
        <v>7.7050000000000001</v>
      </c>
      <c r="G66" s="410">
        <f t="shared" si="2"/>
        <v>1194.2750000000001</v>
      </c>
      <c r="H66" s="152"/>
      <c r="I66" s="243">
        <v>9.6999999999999993</v>
      </c>
      <c r="J66" s="31">
        <f>0.88*8</f>
        <v>7.04</v>
      </c>
      <c r="K66" s="31">
        <v>9.7899999999999991</v>
      </c>
      <c r="L66" s="31">
        <v>5.19</v>
      </c>
      <c r="M66" s="31"/>
      <c r="N66" s="31"/>
      <c r="O66" s="31"/>
      <c r="P66" s="31">
        <v>8.8000000000000007</v>
      </c>
      <c r="Q66" s="27">
        <v>20</v>
      </c>
      <c r="R66" s="57">
        <f>$F66*Q66</f>
        <v>154.1</v>
      </c>
      <c r="S66" s="34">
        <v>30</v>
      </c>
      <c r="T66" s="60">
        <f>$F66*S66</f>
        <v>231.15</v>
      </c>
      <c r="U66" s="35">
        <v>5</v>
      </c>
      <c r="V66" s="61">
        <f>$F66*U66</f>
        <v>38.524999999999999</v>
      </c>
      <c r="W66" s="45">
        <v>50</v>
      </c>
      <c r="X66" s="62">
        <f>$F66*W66</f>
        <v>385.25</v>
      </c>
      <c r="Y66" s="36">
        <v>50</v>
      </c>
      <c r="Z66" s="63">
        <f>$F66*Y66</f>
        <v>385.25</v>
      </c>
    </row>
    <row r="67" spans="1:28" x14ac:dyDescent="0.25">
      <c r="A67" s="234" t="s">
        <v>1486</v>
      </c>
      <c r="B67" s="119"/>
      <c r="C67" s="181" t="s">
        <v>179</v>
      </c>
      <c r="D67" s="119" t="s">
        <v>83</v>
      </c>
      <c r="E67" s="153">
        <f t="shared" si="0"/>
        <v>155</v>
      </c>
      <c r="F67" s="348">
        <f t="shared" si="13"/>
        <v>81.900000000000006</v>
      </c>
      <c r="G67" s="410">
        <f t="shared" si="2"/>
        <v>12694.5</v>
      </c>
      <c r="H67" s="229" t="s">
        <v>1100</v>
      </c>
      <c r="I67" s="254">
        <v>243.75</v>
      </c>
      <c r="J67" s="28">
        <v>81.900000000000006</v>
      </c>
      <c r="K67" s="28"/>
      <c r="L67" s="31"/>
      <c r="M67" s="31"/>
      <c r="N67" s="31"/>
      <c r="O67" s="31"/>
      <c r="P67" s="31"/>
      <c r="Q67" s="95">
        <v>10</v>
      </c>
      <c r="R67" s="71">
        <f>$F67*Q67</f>
        <v>819</v>
      </c>
      <c r="S67" s="72">
        <v>40</v>
      </c>
      <c r="T67" s="73">
        <f>$F67*S67</f>
        <v>3276</v>
      </c>
      <c r="U67" s="92">
        <v>100</v>
      </c>
      <c r="V67" s="75">
        <f>$F67*U67</f>
        <v>8190.0000000000009</v>
      </c>
      <c r="W67" s="93">
        <v>0</v>
      </c>
      <c r="X67" s="77">
        <f>$F67*W67</f>
        <v>0</v>
      </c>
      <c r="Y67" s="94">
        <v>5</v>
      </c>
      <c r="Z67" s="78">
        <f>$F67*Y67</f>
        <v>409.5</v>
      </c>
      <c r="AA67" s="88"/>
      <c r="AB67" s="88"/>
    </row>
    <row r="68" spans="1:28" x14ac:dyDescent="0.25">
      <c r="A68" s="234" t="s">
        <v>1487</v>
      </c>
      <c r="B68" s="118"/>
      <c r="C68" s="13" t="s">
        <v>82</v>
      </c>
      <c r="D68" s="241" t="s">
        <v>83</v>
      </c>
      <c r="E68" s="153">
        <f t="shared" si="0"/>
        <v>135</v>
      </c>
      <c r="F68" s="348">
        <f t="shared" si="13"/>
        <v>28.136666666666667</v>
      </c>
      <c r="G68" s="410">
        <f t="shared" si="2"/>
        <v>3798.45</v>
      </c>
      <c r="H68" s="152"/>
      <c r="I68" s="241">
        <v>25.32</v>
      </c>
      <c r="J68" s="31">
        <v>36.71</v>
      </c>
      <c r="K68" s="31">
        <v>22</v>
      </c>
      <c r="L68" s="31"/>
      <c r="M68" s="31"/>
      <c r="N68" s="31"/>
      <c r="O68" s="31"/>
      <c r="P68" s="31">
        <v>25.7</v>
      </c>
      <c r="Q68" s="27">
        <v>20</v>
      </c>
      <c r="R68" s="57">
        <f>$F68*Q68</f>
        <v>562.73333333333335</v>
      </c>
      <c r="S68" s="34">
        <v>0</v>
      </c>
      <c r="T68" s="60">
        <f>$F68*S68</f>
        <v>0</v>
      </c>
      <c r="U68" s="35">
        <v>15</v>
      </c>
      <c r="V68" s="61">
        <f>$F68*U68</f>
        <v>422.05</v>
      </c>
      <c r="W68" s="45">
        <v>50</v>
      </c>
      <c r="X68" s="62">
        <f>$F68*W68</f>
        <v>1406.8333333333333</v>
      </c>
      <c r="Y68" s="36">
        <v>50</v>
      </c>
      <c r="Z68" s="63">
        <f>$F68*Y68</f>
        <v>1406.8333333333333</v>
      </c>
    </row>
    <row r="69" spans="1:28" ht="30" x14ac:dyDescent="0.25">
      <c r="A69" s="234" t="s">
        <v>1488</v>
      </c>
      <c r="B69">
        <v>1337</v>
      </c>
      <c r="C69" s="121" t="s">
        <v>1025</v>
      </c>
      <c r="D69" t="s">
        <v>236</v>
      </c>
      <c r="E69" s="153">
        <f t="shared" ref="E69:E132" si="19">Q69+S69+U69+W69+Y69</f>
        <v>0</v>
      </c>
      <c r="F69" s="348">
        <f t="shared" ref="F69:F100" si="20">IF(H69="SINAPI",J69,AVERAGE(J69:P69))</f>
        <v>6.26</v>
      </c>
      <c r="G69" s="410">
        <f t="shared" ref="G69:G132" si="21">R69+T69+V69+X69+Z69</f>
        <v>0</v>
      </c>
      <c r="H69" s="6" t="s">
        <v>175</v>
      </c>
      <c r="I69"/>
      <c r="J69" s="122">
        <v>6.26</v>
      </c>
      <c r="K69"/>
      <c r="L69"/>
      <c r="M69"/>
      <c r="N69"/>
      <c r="O69"/>
      <c r="P69"/>
      <c r="R69"/>
      <c r="T69"/>
      <c r="V69"/>
      <c r="X69"/>
      <c r="Z69"/>
    </row>
    <row r="70" spans="1:28" x14ac:dyDescent="0.25">
      <c r="A70" s="234" t="s">
        <v>1489</v>
      </c>
      <c r="B70" s="142">
        <v>1379</v>
      </c>
      <c r="C70" s="143" t="s">
        <v>953</v>
      </c>
      <c r="D70" s="142" t="s">
        <v>236</v>
      </c>
      <c r="E70" s="153">
        <f t="shared" si="19"/>
        <v>0</v>
      </c>
      <c r="F70" s="348">
        <f t="shared" si="20"/>
        <v>0.49</v>
      </c>
      <c r="G70" s="410">
        <f t="shared" si="21"/>
        <v>0</v>
      </c>
      <c r="H70" s="8" t="s">
        <v>175</v>
      </c>
      <c r="I70" s="142"/>
      <c r="J70" s="144">
        <v>0.49</v>
      </c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</row>
    <row r="71" spans="1:28" x14ac:dyDescent="0.25">
      <c r="A71" s="234" t="s">
        <v>1490</v>
      </c>
      <c r="B71">
        <v>1379</v>
      </c>
      <c r="C71" s="121" t="s">
        <v>953</v>
      </c>
      <c r="D71" t="s">
        <v>236</v>
      </c>
      <c r="E71" s="153">
        <f t="shared" si="19"/>
        <v>0</v>
      </c>
      <c r="F71" s="348">
        <f t="shared" si="20"/>
        <v>0.49</v>
      </c>
      <c r="G71" s="410">
        <f t="shared" si="21"/>
        <v>0</v>
      </c>
      <c r="H71" s="6" t="s">
        <v>175</v>
      </c>
      <c r="I71"/>
      <c r="J71" s="122">
        <v>0.49</v>
      </c>
      <c r="K71"/>
      <c r="L71"/>
      <c r="M71"/>
      <c r="N71"/>
      <c r="O71"/>
      <c r="P71"/>
      <c r="R71"/>
      <c r="T71"/>
      <c r="V71"/>
      <c r="X71"/>
      <c r="Z71"/>
    </row>
    <row r="72" spans="1:28" x14ac:dyDescent="0.25">
      <c r="A72" s="234" t="s">
        <v>1491</v>
      </c>
      <c r="B72" s="142">
        <v>10511</v>
      </c>
      <c r="C72" s="143" t="s">
        <v>954</v>
      </c>
      <c r="D72" s="142" t="s">
        <v>955</v>
      </c>
      <c r="E72" s="153">
        <f t="shared" si="19"/>
        <v>0</v>
      </c>
      <c r="F72" s="348">
        <f t="shared" si="20"/>
        <v>24.65</v>
      </c>
      <c r="G72" s="410">
        <f t="shared" si="21"/>
        <v>0</v>
      </c>
      <c r="H72" s="8" t="s">
        <v>175</v>
      </c>
      <c r="I72" s="142"/>
      <c r="J72" s="144">
        <v>24.65</v>
      </c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</row>
    <row r="73" spans="1:28" x14ac:dyDescent="0.25">
      <c r="A73" s="234" t="s">
        <v>1492</v>
      </c>
      <c r="B73" s="234"/>
      <c r="C73" s="237" t="s">
        <v>176</v>
      </c>
      <c r="D73" s="241" t="s">
        <v>1</v>
      </c>
      <c r="E73" s="153">
        <f t="shared" si="19"/>
        <v>735</v>
      </c>
      <c r="F73" s="348">
        <f t="shared" si="20"/>
        <v>28.032</v>
      </c>
      <c r="G73" s="410">
        <f t="shared" si="21"/>
        <v>20603.52</v>
      </c>
      <c r="H73" s="152"/>
      <c r="I73" s="243">
        <v>33.229999999999997</v>
      </c>
      <c r="J73" s="31">
        <v>24.95</v>
      </c>
      <c r="K73" s="31">
        <v>33.33</v>
      </c>
      <c r="L73" s="31">
        <f>12.79*2</f>
        <v>25.58</v>
      </c>
      <c r="M73" s="31">
        <v>20.399999999999999</v>
      </c>
      <c r="N73" s="31"/>
      <c r="O73" s="31" t="s">
        <v>210</v>
      </c>
      <c r="P73" s="31">
        <v>35.9</v>
      </c>
      <c r="Q73" s="27">
        <v>20</v>
      </c>
      <c r="R73" s="57">
        <f>$F73*Q73</f>
        <v>560.64</v>
      </c>
      <c r="S73" s="34">
        <v>300</v>
      </c>
      <c r="T73" s="60">
        <f>$F73*S73</f>
        <v>8409.6</v>
      </c>
      <c r="U73" s="35">
        <v>15</v>
      </c>
      <c r="V73" s="61">
        <f>$F73*U73</f>
        <v>420.48</v>
      </c>
      <c r="W73" s="45">
        <v>150</v>
      </c>
      <c r="X73" s="62">
        <f>$F73*W73</f>
        <v>4204.8</v>
      </c>
      <c r="Y73" s="36">
        <v>250</v>
      </c>
      <c r="Z73" s="63">
        <f>$F73*Y73</f>
        <v>7008</v>
      </c>
    </row>
    <row r="74" spans="1:28" x14ac:dyDescent="0.25">
      <c r="A74" s="234" t="s">
        <v>1493</v>
      </c>
      <c r="B74" s="142">
        <v>13284</v>
      </c>
      <c r="C74" s="143" t="s">
        <v>958</v>
      </c>
      <c r="D74" s="142" t="s">
        <v>236</v>
      </c>
      <c r="E74" s="153">
        <f t="shared" si="19"/>
        <v>0</v>
      </c>
      <c r="F74" s="348">
        <f t="shared" si="20"/>
        <v>0.41</v>
      </c>
      <c r="G74" s="410">
        <f t="shared" si="21"/>
        <v>0</v>
      </c>
      <c r="H74" s="8" t="s">
        <v>175</v>
      </c>
      <c r="I74" s="142"/>
      <c r="J74" s="144">
        <v>0.41</v>
      </c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</row>
    <row r="75" spans="1:28" x14ac:dyDescent="0.25">
      <c r="A75" s="234" t="s">
        <v>1494</v>
      </c>
      <c r="B75" s="142">
        <v>1382</v>
      </c>
      <c r="C75" s="143" t="s">
        <v>957</v>
      </c>
      <c r="D75" s="142" t="s">
        <v>955</v>
      </c>
      <c r="E75" s="153">
        <f t="shared" si="19"/>
        <v>0</v>
      </c>
      <c r="F75" s="348">
        <f t="shared" si="20"/>
        <v>23.75</v>
      </c>
      <c r="G75" s="410">
        <f t="shared" si="21"/>
        <v>0</v>
      </c>
      <c r="H75" s="8" t="s">
        <v>175</v>
      </c>
      <c r="I75" s="142"/>
      <c r="J75" s="144">
        <v>23.75</v>
      </c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</row>
    <row r="76" spans="1:28" x14ac:dyDescent="0.25">
      <c r="A76" s="234" t="s">
        <v>1495</v>
      </c>
      <c r="B76" s="142">
        <v>34753</v>
      </c>
      <c r="C76" s="143" t="s">
        <v>956</v>
      </c>
      <c r="D76" s="142" t="s">
        <v>236</v>
      </c>
      <c r="E76" s="153">
        <f t="shared" si="19"/>
        <v>0</v>
      </c>
      <c r="F76" s="348">
        <f t="shared" si="20"/>
        <v>0.47</v>
      </c>
      <c r="G76" s="410">
        <f t="shared" si="21"/>
        <v>0</v>
      </c>
      <c r="H76" s="8" t="s">
        <v>175</v>
      </c>
      <c r="I76" s="142"/>
      <c r="J76" s="144">
        <v>0.47</v>
      </c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</row>
    <row r="77" spans="1:28" ht="45" x14ac:dyDescent="0.25">
      <c r="A77" s="234" t="s">
        <v>1496</v>
      </c>
      <c r="B77" s="142">
        <v>420</v>
      </c>
      <c r="C77" s="143" t="s">
        <v>811</v>
      </c>
      <c r="D77" s="142" t="s">
        <v>229</v>
      </c>
      <c r="E77" s="153">
        <f t="shared" si="19"/>
        <v>0</v>
      </c>
      <c r="F77" s="348">
        <f t="shared" si="20"/>
        <v>28</v>
      </c>
      <c r="G77" s="410">
        <f t="shared" si="21"/>
        <v>0</v>
      </c>
      <c r="H77" s="8" t="s">
        <v>175</v>
      </c>
      <c r="I77" s="142"/>
      <c r="J77" s="144">
        <v>28</v>
      </c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</row>
    <row r="78" spans="1:28" x14ac:dyDescent="0.25">
      <c r="A78" s="234" t="s">
        <v>1497</v>
      </c>
      <c r="B78" s="119"/>
      <c r="C78" s="181" t="s">
        <v>141</v>
      </c>
      <c r="D78" s="119" t="s">
        <v>1</v>
      </c>
      <c r="E78" s="153">
        <f t="shared" si="19"/>
        <v>35</v>
      </c>
      <c r="F78" s="348">
        <f t="shared" si="20"/>
        <v>32.254999999999995</v>
      </c>
      <c r="G78" s="410">
        <f t="shared" si="21"/>
        <v>1128.9249999999997</v>
      </c>
      <c r="H78" s="229" t="s">
        <v>1100</v>
      </c>
      <c r="I78" s="254">
        <v>39.630000000000003</v>
      </c>
      <c r="J78" s="31"/>
      <c r="K78" s="31"/>
      <c r="L78" s="31"/>
      <c r="M78" s="31"/>
      <c r="N78" s="31">
        <v>45.9</v>
      </c>
      <c r="O78" s="31"/>
      <c r="P78" s="31">
        <v>18.61</v>
      </c>
      <c r="Q78" s="95">
        <v>5</v>
      </c>
      <c r="R78" s="71">
        <f>$F78*Q78</f>
        <v>161.27499999999998</v>
      </c>
      <c r="S78" s="72">
        <v>20</v>
      </c>
      <c r="T78" s="73">
        <f>$F78*S78</f>
        <v>645.09999999999991</v>
      </c>
      <c r="U78" s="92">
        <v>5</v>
      </c>
      <c r="V78" s="75">
        <f>$F78*U78</f>
        <v>161.27499999999998</v>
      </c>
      <c r="W78" s="93">
        <v>0</v>
      </c>
      <c r="X78" s="77">
        <f>$F78*W78</f>
        <v>0</v>
      </c>
      <c r="Y78" s="94">
        <v>5</v>
      </c>
      <c r="Z78" s="78">
        <f>$F78*Y78</f>
        <v>161.27499999999998</v>
      </c>
      <c r="AA78" s="88"/>
      <c r="AB78" s="88"/>
    </row>
    <row r="79" spans="1:28" ht="45" x14ac:dyDescent="0.25">
      <c r="A79" s="234" t="s">
        <v>1498</v>
      </c>
      <c r="B79" s="142">
        <v>11821</v>
      </c>
      <c r="C79" s="143" t="s">
        <v>812</v>
      </c>
      <c r="D79" s="142" t="s">
        <v>229</v>
      </c>
      <c r="E79" s="153">
        <f t="shared" si="19"/>
        <v>0</v>
      </c>
      <c r="F79" s="348">
        <f t="shared" si="20"/>
        <v>5.14</v>
      </c>
      <c r="G79" s="410">
        <f t="shared" si="21"/>
        <v>0</v>
      </c>
      <c r="H79" s="8" t="s">
        <v>175</v>
      </c>
      <c r="I79" s="142"/>
      <c r="J79" s="144">
        <v>5.14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</row>
    <row r="80" spans="1:28" ht="45" x14ac:dyDescent="0.25">
      <c r="A80" s="234" t="s">
        <v>1499</v>
      </c>
      <c r="B80" s="142">
        <v>1562</v>
      </c>
      <c r="C80" s="143" t="s">
        <v>813</v>
      </c>
      <c r="D80" s="142" t="s">
        <v>229</v>
      </c>
      <c r="E80" s="153">
        <f t="shared" si="19"/>
        <v>0</v>
      </c>
      <c r="F80" s="348">
        <f t="shared" si="20"/>
        <v>8.42</v>
      </c>
      <c r="G80" s="410">
        <f t="shared" si="21"/>
        <v>0</v>
      </c>
      <c r="H80" s="8" t="s">
        <v>175</v>
      </c>
      <c r="I80" s="142"/>
      <c r="J80" s="144">
        <v>8.42</v>
      </c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</row>
    <row r="81" spans="1:28" ht="30" x14ac:dyDescent="0.25">
      <c r="A81" s="234" t="s">
        <v>1500</v>
      </c>
      <c r="B81" s="142">
        <v>11856</v>
      </c>
      <c r="C81" s="143" t="s">
        <v>262</v>
      </c>
      <c r="D81" s="142" t="s">
        <v>229</v>
      </c>
      <c r="E81" s="153">
        <f t="shared" si="19"/>
        <v>0</v>
      </c>
      <c r="F81" s="348">
        <f t="shared" si="20"/>
        <v>3.37</v>
      </c>
      <c r="G81" s="410">
        <f t="shared" si="21"/>
        <v>0</v>
      </c>
      <c r="H81" s="8" t="s">
        <v>175</v>
      </c>
      <c r="I81" s="142"/>
      <c r="J81" s="144">
        <v>3.37</v>
      </c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</row>
    <row r="82" spans="1:28" ht="45" x14ac:dyDescent="0.25">
      <c r="A82" s="234" t="s">
        <v>1501</v>
      </c>
      <c r="B82">
        <v>1607</v>
      </c>
      <c r="C82" s="121" t="s">
        <v>890</v>
      </c>
      <c r="D82" t="s">
        <v>606</v>
      </c>
      <c r="E82" s="153">
        <f t="shared" si="19"/>
        <v>0</v>
      </c>
      <c r="F82" s="348">
        <f t="shared" si="20"/>
        <v>0.16</v>
      </c>
      <c r="G82" s="410">
        <f t="shared" si="21"/>
        <v>0</v>
      </c>
      <c r="H82" s="6" t="s">
        <v>175</v>
      </c>
      <c r="I82"/>
      <c r="J82" s="122">
        <v>0.16</v>
      </c>
      <c r="K82"/>
      <c r="L82"/>
      <c r="M82"/>
      <c r="N82"/>
      <c r="O82"/>
      <c r="P82"/>
      <c r="R82"/>
      <c r="T82"/>
      <c r="V82"/>
      <c r="X82"/>
      <c r="Z82"/>
    </row>
    <row r="83" spans="1:28" x14ac:dyDescent="0.25">
      <c r="A83" s="234" t="s">
        <v>1502</v>
      </c>
      <c r="B83" s="118"/>
      <c r="C83" s="14" t="s">
        <v>84</v>
      </c>
      <c r="D83" s="241" t="s">
        <v>83</v>
      </c>
      <c r="E83" s="153">
        <f t="shared" si="19"/>
        <v>705</v>
      </c>
      <c r="F83" s="348">
        <f t="shared" si="20"/>
        <v>0.99</v>
      </c>
      <c r="G83" s="410">
        <f t="shared" si="21"/>
        <v>697.95</v>
      </c>
      <c r="H83" s="152"/>
      <c r="I83" s="243">
        <v>1.28</v>
      </c>
      <c r="J83" s="31"/>
      <c r="K83" s="31">
        <v>0.98</v>
      </c>
      <c r="L83" s="31"/>
      <c r="M83" s="31"/>
      <c r="N83" s="31"/>
      <c r="O83" s="31"/>
      <c r="P83" s="31">
        <v>1</v>
      </c>
      <c r="Q83" s="27">
        <v>20</v>
      </c>
      <c r="R83" s="57">
        <f>$F83*Q83</f>
        <v>19.8</v>
      </c>
      <c r="S83" s="34">
        <v>300</v>
      </c>
      <c r="T83" s="60">
        <f>$F83*S83</f>
        <v>297</v>
      </c>
      <c r="U83" s="35">
        <v>100</v>
      </c>
      <c r="V83" s="61">
        <f>$F83*U83</f>
        <v>99</v>
      </c>
      <c r="W83" s="45">
        <v>35</v>
      </c>
      <c r="X83" s="62">
        <f>$F83*W83</f>
        <v>34.65</v>
      </c>
      <c r="Y83" s="36">
        <v>250</v>
      </c>
      <c r="Z83" s="63">
        <f>$F83*Y83</f>
        <v>247.5</v>
      </c>
    </row>
    <row r="84" spans="1:28" ht="45" x14ac:dyDescent="0.25">
      <c r="A84" s="234" t="s">
        <v>1503</v>
      </c>
      <c r="B84">
        <v>39640</v>
      </c>
      <c r="C84" s="121" t="s">
        <v>891</v>
      </c>
      <c r="D84" t="s">
        <v>229</v>
      </c>
      <c r="E84" s="153">
        <f t="shared" si="19"/>
        <v>0</v>
      </c>
      <c r="F84" s="348">
        <f t="shared" si="20"/>
        <v>5.41</v>
      </c>
      <c r="G84" s="410">
        <f t="shared" si="21"/>
        <v>0</v>
      </c>
      <c r="H84" s="6" t="s">
        <v>175</v>
      </c>
      <c r="I84"/>
      <c r="J84" s="122">
        <v>5.41</v>
      </c>
      <c r="K84"/>
      <c r="L84"/>
      <c r="M84"/>
      <c r="N84"/>
      <c r="O84"/>
      <c r="P84"/>
      <c r="R84"/>
      <c r="T84"/>
      <c r="V84"/>
      <c r="X84"/>
      <c r="Z84"/>
    </row>
    <row r="85" spans="1:28" ht="45" x14ac:dyDescent="0.25">
      <c r="A85" s="234" t="s">
        <v>1504</v>
      </c>
      <c r="B85">
        <v>11013</v>
      </c>
      <c r="C85" s="121" t="s">
        <v>892</v>
      </c>
      <c r="D85" t="s">
        <v>229</v>
      </c>
      <c r="E85" s="153">
        <f t="shared" si="19"/>
        <v>0</v>
      </c>
      <c r="F85" s="348">
        <f t="shared" si="20"/>
        <v>11.13</v>
      </c>
      <c r="G85" s="410">
        <f t="shared" si="21"/>
        <v>0</v>
      </c>
      <c r="H85" s="6" t="s">
        <v>175</v>
      </c>
      <c r="I85"/>
      <c r="J85" s="122">
        <v>11.13</v>
      </c>
      <c r="K85"/>
      <c r="L85"/>
      <c r="M85"/>
      <c r="N85"/>
      <c r="O85"/>
      <c r="P85"/>
      <c r="R85"/>
      <c r="T85"/>
      <c r="V85"/>
      <c r="X85"/>
      <c r="Z85"/>
    </row>
    <row r="86" spans="1:28" ht="45" x14ac:dyDescent="0.25">
      <c r="A86" s="234" t="s">
        <v>1505</v>
      </c>
      <c r="B86">
        <v>11017</v>
      </c>
      <c r="C86" s="121" t="s">
        <v>893</v>
      </c>
      <c r="D86" t="s">
        <v>229</v>
      </c>
      <c r="E86" s="153">
        <f t="shared" si="19"/>
        <v>0</v>
      </c>
      <c r="F86" s="348">
        <f t="shared" si="20"/>
        <v>4.75</v>
      </c>
      <c r="G86" s="410">
        <f t="shared" si="21"/>
        <v>0</v>
      </c>
      <c r="H86" s="6" t="s">
        <v>175</v>
      </c>
      <c r="I86"/>
      <c r="J86" s="122">
        <v>4.75</v>
      </c>
      <c r="K86"/>
      <c r="L86"/>
      <c r="M86"/>
      <c r="N86"/>
      <c r="O86"/>
      <c r="P86"/>
      <c r="R86"/>
      <c r="T86"/>
      <c r="V86"/>
      <c r="X86"/>
      <c r="Z86"/>
    </row>
    <row r="87" spans="1:28" ht="45" x14ac:dyDescent="0.25">
      <c r="A87" s="234" t="s">
        <v>1506</v>
      </c>
      <c r="B87">
        <v>20236</v>
      </c>
      <c r="C87" s="121" t="s">
        <v>894</v>
      </c>
      <c r="D87" t="s">
        <v>229</v>
      </c>
      <c r="E87" s="153">
        <f t="shared" si="19"/>
        <v>0</v>
      </c>
      <c r="F87" s="348">
        <f t="shared" si="20"/>
        <v>20.93</v>
      </c>
      <c r="G87" s="410">
        <f t="shared" si="21"/>
        <v>0</v>
      </c>
      <c r="H87" s="6" t="s">
        <v>175</v>
      </c>
      <c r="I87"/>
      <c r="J87" s="122">
        <v>20.93</v>
      </c>
      <c r="K87"/>
      <c r="L87"/>
      <c r="M87"/>
      <c r="N87"/>
      <c r="O87"/>
      <c r="P87"/>
      <c r="R87"/>
      <c r="T87"/>
      <c r="V87"/>
      <c r="X87"/>
      <c r="Z87"/>
    </row>
    <row r="88" spans="1:28" x14ac:dyDescent="0.25">
      <c r="A88" s="234" t="s">
        <v>1507</v>
      </c>
      <c r="B88" s="118"/>
      <c r="C88" s="14" t="s">
        <v>85</v>
      </c>
      <c r="D88" s="241" t="s">
        <v>1</v>
      </c>
      <c r="E88" s="153">
        <f t="shared" si="19"/>
        <v>280</v>
      </c>
      <c r="F88" s="348">
        <f t="shared" si="20"/>
        <v>37.667999999999999</v>
      </c>
      <c r="G88" s="410">
        <f t="shared" si="21"/>
        <v>10547.039999999999</v>
      </c>
      <c r="H88" s="152"/>
      <c r="I88" s="243">
        <v>34.5</v>
      </c>
      <c r="J88" s="31"/>
      <c r="K88" s="31">
        <v>28.9</v>
      </c>
      <c r="L88" s="31">
        <v>32.9</v>
      </c>
      <c r="M88" s="31">
        <v>44.64</v>
      </c>
      <c r="N88" s="31"/>
      <c r="O88" s="31">
        <v>44.9</v>
      </c>
      <c r="P88" s="31">
        <v>37</v>
      </c>
      <c r="Q88" s="27">
        <v>20</v>
      </c>
      <c r="R88" s="57">
        <f>$F88*Q88</f>
        <v>753.36</v>
      </c>
      <c r="S88" s="34">
        <v>100</v>
      </c>
      <c r="T88" s="60">
        <f>$F88*S88</f>
        <v>3766.7999999999997</v>
      </c>
      <c r="U88" s="35">
        <v>25</v>
      </c>
      <c r="V88" s="61">
        <f>$F88*U88</f>
        <v>941.69999999999993</v>
      </c>
      <c r="W88" s="45">
        <v>35</v>
      </c>
      <c r="X88" s="62">
        <f>$F88*W88</f>
        <v>1318.3799999999999</v>
      </c>
      <c r="Y88" s="36">
        <v>100</v>
      </c>
      <c r="Z88" s="63">
        <f>$F88*Y88</f>
        <v>3766.7999999999997</v>
      </c>
    </row>
    <row r="89" spans="1:28" ht="45" x14ac:dyDescent="0.25">
      <c r="A89" s="234" t="s">
        <v>1508</v>
      </c>
      <c r="B89" s="142">
        <v>7215</v>
      </c>
      <c r="C89" s="143" t="s">
        <v>895</v>
      </c>
      <c r="D89" s="142" t="s">
        <v>229</v>
      </c>
      <c r="E89" s="153">
        <f t="shared" si="19"/>
        <v>0</v>
      </c>
      <c r="F89" s="348">
        <f t="shared" si="20"/>
        <v>17.920000000000002</v>
      </c>
      <c r="G89" s="410">
        <f t="shared" si="21"/>
        <v>0</v>
      </c>
      <c r="H89" s="8" t="s">
        <v>175</v>
      </c>
      <c r="I89" s="142"/>
      <c r="J89" s="144">
        <v>17.920000000000002</v>
      </c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spans="1:28" ht="45" x14ac:dyDescent="0.25">
      <c r="A90" s="234" t="s">
        <v>1509</v>
      </c>
      <c r="B90" s="142">
        <v>7216</v>
      </c>
      <c r="C90" s="143" t="s">
        <v>896</v>
      </c>
      <c r="D90" s="142" t="s">
        <v>229</v>
      </c>
      <c r="E90" s="153">
        <f t="shared" si="19"/>
        <v>0</v>
      </c>
      <c r="F90" s="348">
        <f t="shared" si="20"/>
        <v>74.89</v>
      </c>
      <c r="G90" s="410">
        <f t="shared" si="21"/>
        <v>0</v>
      </c>
      <c r="H90" s="8" t="s">
        <v>175</v>
      </c>
      <c r="I90" s="142"/>
      <c r="J90" s="144">
        <v>74.89</v>
      </c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spans="1:28" ht="45" x14ac:dyDescent="0.25">
      <c r="A91" s="234" t="s">
        <v>1510</v>
      </c>
      <c r="B91">
        <v>20235</v>
      </c>
      <c r="C91" s="121" t="s">
        <v>897</v>
      </c>
      <c r="D91" t="s">
        <v>229</v>
      </c>
      <c r="E91" s="153">
        <f t="shared" si="19"/>
        <v>0</v>
      </c>
      <c r="F91" s="348">
        <f t="shared" si="20"/>
        <v>37.86</v>
      </c>
      <c r="G91" s="410">
        <f t="shared" si="21"/>
        <v>0</v>
      </c>
      <c r="H91" s="6" t="s">
        <v>175</v>
      </c>
      <c r="I91"/>
      <c r="J91" s="122">
        <v>37.86</v>
      </c>
      <c r="K91"/>
      <c r="L91"/>
      <c r="M91"/>
      <c r="N91"/>
      <c r="O91"/>
      <c r="P91"/>
      <c r="R91"/>
      <c r="T91"/>
      <c r="V91"/>
      <c r="X91"/>
      <c r="Z91"/>
    </row>
    <row r="92" spans="1:28" ht="30" x14ac:dyDescent="0.25">
      <c r="A92" s="234" t="s">
        <v>1511</v>
      </c>
      <c r="B92" s="142">
        <v>7181</v>
      </c>
      <c r="C92" s="143" t="s">
        <v>898</v>
      </c>
      <c r="D92" s="142" t="s">
        <v>229</v>
      </c>
      <c r="E92" s="153">
        <f t="shared" si="19"/>
        <v>0</v>
      </c>
      <c r="F92" s="348">
        <f t="shared" si="20"/>
        <v>5.69</v>
      </c>
      <c r="G92" s="410">
        <f t="shared" si="21"/>
        <v>0</v>
      </c>
      <c r="H92" s="8" t="s">
        <v>175</v>
      </c>
      <c r="I92" s="142"/>
      <c r="J92" s="144">
        <v>5.69</v>
      </c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</row>
    <row r="93" spans="1:28" ht="45" x14ac:dyDescent="0.25">
      <c r="A93" s="234" t="s">
        <v>1512</v>
      </c>
      <c r="B93">
        <v>40866</v>
      </c>
      <c r="C93" s="121" t="s">
        <v>899</v>
      </c>
      <c r="D93" t="s">
        <v>229</v>
      </c>
      <c r="E93" s="153">
        <f t="shared" si="19"/>
        <v>0</v>
      </c>
      <c r="F93" s="348">
        <f t="shared" si="20"/>
        <v>7.51</v>
      </c>
      <c r="G93" s="410">
        <f t="shared" si="21"/>
        <v>0</v>
      </c>
      <c r="H93" s="6" t="s">
        <v>175</v>
      </c>
      <c r="I93"/>
      <c r="J93" s="122">
        <v>7.51</v>
      </c>
      <c r="K93"/>
      <c r="L93"/>
      <c r="M93"/>
      <c r="N93"/>
      <c r="O93"/>
      <c r="P93"/>
      <c r="R93"/>
      <c r="T93"/>
      <c r="V93"/>
      <c r="X93"/>
      <c r="Z93"/>
    </row>
    <row r="94" spans="1:28" ht="45" x14ac:dyDescent="0.25">
      <c r="A94" s="234" t="s">
        <v>1513</v>
      </c>
      <c r="B94" s="142">
        <v>7219</v>
      </c>
      <c r="C94" s="143" t="s">
        <v>900</v>
      </c>
      <c r="D94" s="142" t="s">
        <v>229</v>
      </c>
      <c r="E94" s="153">
        <f t="shared" si="19"/>
        <v>0</v>
      </c>
      <c r="F94" s="348">
        <f t="shared" si="20"/>
        <v>26.56</v>
      </c>
      <c r="G94" s="410">
        <f t="shared" si="21"/>
        <v>0</v>
      </c>
      <c r="H94" s="8" t="s">
        <v>175</v>
      </c>
      <c r="I94" s="142"/>
      <c r="J94" s="144">
        <v>26.56</v>
      </c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</row>
    <row r="95" spans="1:28" ht="30" x14ac:dyDescent="0.25">
      <c r="A95" s="234" t="s">
        <v>1514</v>
      </c>
      <c r="B95">
        <v>38369</v>
      </c>
      <c r="C95" s="121" t="s">
        <v>265</v>
      </c>
      <c r="D95" t="s">
        <v>229</v>
      </c>
      <c r="E95" s="153">
        <f t="shared" si="19"/>
        <v>0</v>
      </c>
      <c r="F95" s="348">
        <f t="shared" si="20"/>
        <v>11.86</v>
      </c>
      <c r="G95" s="410">
        <f t="shared" si="21"/>
        <v>0</v>
      </c>
      <c r="H95" s="6" t="s">
        <v>175</v>
      </c>
      <c r="I95"/>
      <c r="J95" s="122">
        <v>11.86</v>
      </c>
      <c r="K95"/>
      <c r="L95"/>
      <c r="M95"/>
      <c r="N95"/>
      <c r="O95"/>
      <c r="P95"/>
      <c r="R95"/>
      <c r="T95"/>
      <c r="V95"/>
      <c r="X95"/>
      <c r="Z95"/>
    </row>
    <row r="96" spans="1:28" x14ac:dyDescent="0.25">
      <c r="A96" s="234" t="s">
        <v>1515</v>
      </c>
      <c r="B96" s="119"/>
      <c r="C96" s="180" t="s">
        <v>142</v>
      </c>
      <c r="D96" s="177" t="s">
        <v>1</v>
      </c>
      <c r="E96" s="153">
        <f t="shared" si="19"/>
        <v>80</v>
      </c>
      <c r="F96" s="348">
        <f t="shared" si="20"/>
        <v>7.5950000000000006</v>
      </c>
      <c r="G96" s="410">
        <f t="shared" si="21"/>
        <v>607.60000000000014</v>
      </c>
      <c r="H96" s="229" t="s">
        <v>1100</v>
      </c>
      <c r="I96" s="254">
        <v>5.1100000000000003</v>
      </c>
      <c r="J96" s="31"/>
      <c r="K96" s="31">
        <v>4.29</v>
      </c>
      <c r="L96" s="31"/>
      <c r="M96" s="31"/>
      <c r="N96" s="31"/>
      <c r="O96" s="31">
        <v>10.9</v>
      </c>
      <c r="P96" s="31"/>
      <c r="Q96" s="91">
        <v>20</v>
      </c>
      <c r="R96" s="71">
        <f>$F96*Q96</f>
        <v>151.9</v>
      </c>
      <c r="S96" s="72">
        <v>20</v>
      </c>
      <c r="T96" s="73">
        <f>$F96*S96</f>
        <v>151.9</v>
      </c>
      <c r="U96" s="92">
        <v>25</v>
      </c>
      <c r="V96" s="75">
        <f>$F96*U96</f>
        <v>189.87500000000003</v>
      </c>
      <c r="W96" s="93">
        <v>0</v>
      </c>
      <c r="X96" s="77">
        <f>$F96*W96</f>
        <v>0</v>
      </c>
      <c r="Y96" s="94">
        <v>15</v>
      </c>
      <c r="Z96" s="78">
        <f>$F96*Y96</f>
        <v>113.92500000000001</v>
      </c>
      <c r="AA96" s="88"/>
      <c r="AB96" s="88"/>
    </row>
    <row r="97" spans="1:28" x14ac:dyDescent="0.25">
      <c r="A97" s="234" t="s">
        <v>1516</v>
      </c>
      <c r="B97" s="177"/>
      <c r="C97" s="180" t="s">
        <v>143</v>
      </c>
      <c r="D97" s="177" t="s">
        <v>1</v>
      </c>
      <c r="E97" s="153">
        <f t="shared" si="19"/>
        <v>130</v>
      </c>
      <c r="F97" s="348">
        <f t="shared" si="20"/>
        <v>6.84</v>
      </c>
      <c r="G97" s="410">
        <f t="shared" si="21"/>
        <v>889.2</v>
      </c>
      <c r="H97" s="229" t="s">
        <v>1100</v>
      </c>
      <c r="I97" s="254">
        <v>9</v>
      </c>
      <c r="J97" s="31"/>
      <c r="K97" s="31">
        <v>9.18</v>
      </c>
      <c r="L97" s="31"/>
      <c r="M97" s="31"/>
      <c r="N97" s="31"/>
      <c r="O97" s="31"/>
      <c r="P97" s="31">
        <v>4.5</v>
      </c>
      <c r="Q97" s="91">
        <v>20</v>
      </c>
      <c r="R97" s="71">
        <f>$F97*Q97</f>
        <v>136.80000000000001</v>
      </c>
      <c r="S97" s="72">
        <v>20</v>
      </c>
      <c r="T97" s="73">
        <f>$F97*S97</f>
        <v>136.80000000000001</v>
      </c>
      <c r="U97" s="92">
        <v>25</v>
      </c>
      <c r="V97" s="75">
        <f>$F97*U97</f>
        <v>171</v>
      </c>
      <c r="W97" s="93">
        <v>50</v>
      </c>
      <c r="X97" s="77">
        <f>$F97*W97</f>
        <v>342</v>
      </c>
      <c r="Y97" s="94">
        <v>15</v>
      </c>
      <c r="Z97" s="78">
        <f>$F97*Y97</f>
        <v>102.6</v>
      </c>
      <c r="AA97" s="88"/>
      <c r="AB97" s="88"/>
    </row>
    <row r="98" spans="1:28" x14ac:dyDescent="0.25">
      <c r="A98" s="234" t="s">
        <v>1517</v>
      </c>
      <c r="B98" s="119"/>
      <c r="C98" s="180" t="s">
        <v>144</v>
      </c>
      <c r="D98" s="177" t="s">
        <v>1</v>
      </c>
      <c r="E98" s="153">
        <f t="shared" si="19"/>
        <v>135</v>
      </c>
      <c r="F98" s="348">
        <f t="shared" si="20"/>
        <v>16.061666666666667</v>
      </c>
      <c r="G98" s="410">
        <f t="shared" si="21"/>
        <v>2168.3249999999998</v>
      </c>
      <c r="H98" s="229" t="s">
        <v>1100</v>
      </c>
      <c r="I98" s="254">
        <v>22.5</v>
      </c>
      <c r="J98" s="31"/>
      <c r="K98" s="31">
        <v>12</v>
      </c>
      <c r="L98" s="31"/>
      <c r="M98" s="31"/>
      <c r="N98" s="31">
        <f>60.37/3</f>
        <v>20.123333333333331</v>
      </c>
      <c r="O98" s="31"/>
      <c r="P98" s="31"/>
      <c r="Q98" s="91">
        <v>20</v>
      </c>
      <c r="R98" s="71">
        <f>$F98*Q98</f>
        <v>321.23333333333335</v>
      </c>
      <c r="S98" s="72">
        <v>20</v>
      </c>
      <c r="T98" s="73">
        <f>$F98*S98</f>
        <v>321.23333333333335</v>
      </c>
      <c r="U98" s="92">
        <v>25</v>
      </c>
      <c r="V98" s="75">
        <f>$F98*U98</f>
        <v>401.54166666666669</v>
      </c>
      <c r="W98" s="93">
        <v>50</v>
      </c>
      <c r="X98" s="77">
        <f>$F98*W98</f>
        <v>803.08333333333337</v>
      </c>
      <c r="Y98" s="94">
        <v>20</v>
      </c>
      <c r="Z98" s="78">
        <f>$F98*Y98</f>
        <v>321.23333333333335</v>
      </c>
      <c r="AA98" s="88"/>
      <c r="AB98" s="88"/>
    </row>
    <row r="99" spans="1:28" x14ac:dyDescent="0.25">
      <c r="A99" s="234" t="s">
        <v>1518</v>
      </c>
      <c r="B99" s="119"/>
      <c r="C99" s="180" t="s">
        <v>145</v>
      </c>
      <c r="D99" s="177" t="s">
        <v>1</v>
      </c>
      <c r="E99" s="153">
        <f t="shared" si="19"/>
        <v>105</v>
      </c>
      <c r="F99" s="348">
        <f t="shared" si="20"/>
        <v>20</v>
      </c>
      <c r="G99" s="410">
        <f t="shared" si="21"/>
        <v>2100</v>
      </c>
      <c r="H99" s="229" t="s">
        <v>1100</v>
      </c>
      <c r="I99" s="254">
        <v>85.81</v>
      </c>
      <c r="J99" s="31"/>
      <c r="K99" s="31">
        <v>20</v>
      </c>
      <c r="L99" s="31"/>
      <c r="M99" s="31"/>
      <c r="N99" s="31"/>
      <c r="O99" s="31"/>
      <c r="P99" s="31"/>
      <c r="Q99" s="91">
        <v>10</v>
      </c>
      <c r="R99" s="71">
        <f>$F99*Q99</f>
        <v>200</v>
      </c>
      <c r="S99" s="72">
        <v>20</v>
      </c>
      <c r="T99" s="73">
        <f>$F99*S99</f>
        <v>400</v>
      </c>
      <c r="U99" s="92">
        <v>25</v>
      </c>
      <c r="V99" s="75">
        <f>$F99*U99</f>
        <v>500</v>
      </c>
      <c r="W99" s="93">
        <v>30</v>
      </c>
      <c r="X99" s="77">
        <f>$F99*W99</f>
        <v>600</v>
      </c>
      <c r="Y99" s="94">
        <v>20</v>
      </c>
      <c r="Z99" s="78">
        <f>$F99*Y99</f>
        <v>400</v>
      </c>
      <c r="AA99" s="88"/>
      <c r="AB99" s="88"/>
    </row>
    <row r="100" spans="1:28" ht="45" x14ac:dyDescent="0.25">
      <c r="A100" s="234" t="s">
        <v>1519</v>
      </c>
      <c r="B100">
        <v>2432</v>
      </c>
      <c r="C100" s="121" t="s">
        <v>814</v>
      </c>
      <c r="D100" t="s">
        <v>229</v>
      </c>
      <c r="E100" s="153">
        <f t="shared" si="19"/>
        <v>0</v>
      </c>
      <c r="F100" s="348">
        <f t="shared" si="20"/>
        <v>23.71</v>
      </c>
      <c r="G100" s="410">
        <f t="shared" si="21"/>
        <v>0</v>
      </c>
      <c r="H100" s="6" t="s">
        <v>175</v>
      </c>
      <c r="I100"/>
      <c r="J100" s="122">
        <v>23.71</v>
      </c>
      <c r="K100"/>
      <c r="L100"/>
      <c r="M100"/>
      <c r="N100"/>
      <c r="O100"/>
      <c r="P100"/>
      <c r="R100"/>
      <c r="T100"/>
      <c r="V100"/>
      <c r="X100"/>
      <c r="Z100"/>
    </row>
    <row r="101" spans="1:28" ht="45" x14ac:dyDescent="0.25">
      <c r="A101" s="234" t="s">
        <v>1520</v>
      </c>
      <c r="B101">
        <v>2418</v>
      </c>
      <c r="C101" s="121" t="s">
        <v>798</v>
      </c>
      <c r="D101" t="s">
        <v>229</v>
      </c>
      <c r="E101" s="153">
        <f t="shared" si="19"/>
        <v>0</v>
      </c>
      <c r="F101" s="348">
        <f t="shared" ref="F101:F132" si="22">IF(H101="SINAPI",J101,AVERAGE(J101:P101))</f>
        <v>11</v>
      </c>
      <c r="G101" s="410">
        <f t="shared" si="21"/>
        <v>0</v>
      </c>
      <c r="H101" s="6" t="s">
        <v>175</v>
      </c>
      <c r="I101"/>
      <c r="J101" s="122">
        <v>11</v>
      </c>
      <c r="K101"/>
      <c r="L101"/>
      <c r="M101"/>
      <c r="N101"/>
      <c r="O101"/>
      <c r="P101"/>
      <c r="R101"/>
      <c r="T101"/>
      <c r="V101"/>
      <c r="X101"/>
      <c r="Z101"/>
    </row>
    <row r="102" spans="1:28" ht="45" x14ac:dyDescent="0.25">
      <c r="A102" s="234" t="s">
        <v>1521</v>
      </c>
      <c r="B102">
        <v>2433</v>
      </c>
      <c r="C102" s="121" t="s">
        <v>815</v>
      </c>
      <c r="D102" t="s">
        <v>229</v>
      </c>
      <c r="E102" s="153">
        <f t="shared" si="19"/>
        <v>0</v>
      </c>
      <c r="F102" s="348">
        <f t="shared" si="22"/>
        <v>8.0299999999999994</v>
      </c>
      <c r="G102" s="410">
        <f t="shared" si="21"/>
        <v>0</v>
      </c>
      <c r="H102" s="6" t="s">
        <v>175</v>
      </c>
      <c r="I102"/>
      <c r="J102" s="122">
        <v>8.0299999999999994</v>
      </c>
      <c r="K102"/>
      <c r="L102"/>
      <c r="M102"/>
      <c r="N102"/>
      <c r="O102"/>
      <c r="P102"/>
      <c r="R102"/>
      <c r="T102"/>
      <c r="V102"/>
      <c r="X102"/>
      <c r="Z102"/>
    </row>
    <row r="103" spans="1:28" ht="45" x14ac:dyDescent="0.25">
      <c r="A103" s="234" t="s">
        <v>1522</v>
      </c>
      <c r="B103">
        <v>2420</v>
      </c>
      <c r="C103" s="121" t="s">
        <v>816</v>
      </c>
      <c r="D103" t="s">
        <v>229</v>
      </c>
      <c r="E103" s="153">
        <f t="shared" si="19"/>
        <v>0</v>
      </c>
      <c r="F103" s="348">
        <f t="shared" si="22"/>
        <v>13.79</v>
      </c>
      <c r="G103" s="410">
        <f t="shared" si="21"/>
        <v>0</v>
      </c>
      <c r="H103" s="6" t="s">
        <v>175</v>
      </c>
      <c r="I103"/>
      <c r="J103" s="122">
        <v>13.79</v>
      </c>
      <c r="K103"/>
      <c r="L103"/>
      <c r="M103"/>
      <c r="N103"/>
      <c r="O103"/>
      <c r="P103"/>
      <c r="R103"/>
      <c r="T103"/>
      <c r="V103"/>
      <c r="X103"/>
      <c r="Z103"/>
    </row>
    <row r="104" spans="1:28" ht="30" x14ac:dyDescent="0.25">
      <c r="A104" s="234" t="s">
        <v>1523</v>
      </c>
      <c r="B104">
        <v>11447</v>
      </c>
      <c r="C104" s="121" t="s">
        <v>817</v>
      </c>
      <c r="D104" t="s">
        <v>229</v>
      </c>
      <c r="E104" s="153">
        <f t="shared" si="19"/>
        <v>0</v>
      </c>
      <c r="F104" s="348">
        <f t="shared" si="22"/>
        <v>27.26</v>
      </c>
      <c r="G104" s="410">
        <f t="shared" si="21"/>
        <v>0</v>
      </c>
      <c r="H104" s="6" t="s">
        <v>175</v>
      </c>
      <c r="I104"/>
      <c r="J104" s="122">
        <v>27.26</v>
      </c>
      <c r="K104"/>
      <c r="L104"/>
      <c r="M104"/>
      <c r="N104"/>
      <c r="O104"/>
      <c r="P104"/>
      <c r="R104"/>
      <c r="T104"/>
      <c r="V104"/>
      <c r="X104"/>
      <c r="Z104"/>
    </row>
    <row r="105" spans="1:28" ht="30" x14ac:dyDescent="0.25">
      <c r="A105" s="234" t="s">
        <v>1524</v>
      </c>
      <c r="B105">
        <v>11451</v>
      </c>
      <c r="C105" s="121" t="s">
        <v>818</v>
      </c>
      <c r="D105" t="s">
        <v>229</v>
      </c>
      <c r="E105" s="153">
        <f t="shared" si="19"/>
        <v>0</v>
      </c>
      <c r="F105" s="348">
        <f t="shared" si="22"/>
        <v>73.09</v>
      </c>
      <c r="G105" s="410">
        <f t="shared" si="21"/>
        <v>0</v>
      </c>
      <c r="H105" s="6" t="s">
        <v>175</v>
      </c>
      <c r="I105"/>
      <c r="J105" s="122">
        <v>73.09</v>
      </c>
      <c r="K105"/>
      <c r="L105"/>
      <c r="M105"/>
      <c r="N105"/>
      <c r="O105"/>
      <c r="P105"/>
      <c r="R105"/>
      <c r="T105"/>
      <c r="V105"/>
      <c r="X105"/>
      <c r="Z105"/>
    </row>
    <row r="106" spans="1:28" ht="30" x14ac:dyDescent="0.25">
      <c r="A106" s="234" t="s">
        <v>1525</v>
      </c>
      <c r="B106" s="142">
        <v>43146</v>
      </c>
      <c r="C106" s="143" t="s">
        <v>1029</v>
      </c>
      <c r="D106" s="142" t="s">
        <v>1030</v>
      </c>
      <c r="E106" s="153">
        <f t="shared" si="19"/>
        <v>0</v>
      </c>
      <c r="F106" s="348">
        <f t="shared" si="22"/>
        <v>5.66</v>
      </c>
      <c r="G106" s="410">
        <f t="shared" si="21"/>
        <v>0</v>
      </c>
      <c r="H106" s="8" t="s">
        <v>175</v>
      </c>
      <c r="I106" s="142"/>
      <c r="J106" s="144">
        <v>5.66</v>
      </c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</row>
    <row r="107" spans="1:28" ht="45" x14ac:dyDescent="0.25">
      <c r="A107" s="234" t="s">
        <v>1526</v>
      </c>
      <c r="B107">
        <v>21142</v>
      </c>
      <c r="C107" s="121" t="s">
        <v>901</v>
      </c>
      <c r="D107" t="s">
        <v>229</v>
      </c>
      <c r="E107" s="153">
        <f t="shared" si="19"/>
        <v>0</v>
      </c>
      <c r="F107" s="348">
        <f t="shared" si="22"/>
        <v>20.03</v>
      </c>
      <c r="G107" s="410">
        <f t="shared" si="21"/>
        <v>0</v>
      </c>
      <c r="H107" s="6" t="s">
        <v>175</v>
      </c>
      <c r="I107"/>
      <c r="J107" s="122">
        <v>20.03</v>
      </c>
      <c r="K107"/>
      <c r="L107"/>
      <c r="M107"/>
      <c r="N107"/>
      <c r="O107"/>
      <c r="P107"/>
      <c r="R107"/>
      <c r="T107"/>
      <c r="V107"/>
      <c r="X107"/>
      <c r="Z107"/>
    </row>
    <row r="108" spans="1:28" ht="60" x14ac:dyDescent="0.25">
      <c r="A108" s="234" t="s">
        <v>1527</v>
      </c>
      <c r="B108" s="123">
        <v>11484</v>
      </c>
      <c r="C108" s="124" t="s">
        <v>1088</v>
      </c>
      <c r="D108" s="6" t="s">
        <v>229</v>
      </c>
      <c r="E108" s="153">
        <f t="shared" si="19"/>
        <v>0</v>
      </c>
      <c r="F108" s="348">
        <f t="shared" si="22"/>
        <v>30.02</v>
      </c>
      <c r="G108" s="410">
        <f t="shared" si="21"/>
        <v>0</v>
      </c>
      <c r="H108" s="6" t="s">
        <v>175</v>
      </c>
      <c r="I108" s="6"/>
      <c r="J108" s="59">
        <v>30.02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8" x14ac:dyDescent="0.25">
      <c r="A109" s="234" t="s">
        <v>1528</v>
      </c>
      <c r="B109" s="119"/>
      <c r="C109" s="181" t="s">
        <v>146</v>
      </c>
      <c r="D109" s="177" t="s">
        <v>1</v>
      </c>
      <c r="E109" s="153">
        <f t="shared" si="19"/>
        <v>175</v>
      </c>
      <c r="F109" s="348">
        <f t="shared" si="22"/>
        <v>50.064999999999998</v>
      </c>
      <c r="G109" s="410">
        <f t="shared" si="21"/>
        <v>8761.375</v>
      </c>
      <c r="H109" s="229" t="s">
        <v>1100</v>
      </c>
      <c r="I109" s="254">
        <v>56.04</v>
      </c>
      <c r="J109" s="31">
        <v>45</v>
      </c>
      <c r="K109" s="31">
        <v>40.61</v>
      </c>
      <c r="L109" s="31"/>
      <c r="M109" s="31"/>
      <c r="N109" s="31"/>
      <c r="O109" s="31">
        <v>71.900000000000006</v>
      </c>
      <c r="P109" s="31">
        <v>42.75</v>
      </c>
      <c r="Q109" s="91">
        <v>10</v>
      </c>
      <c r="R109" s="71">
        <f>$F109*Q109</f>
        <v>500.65</v>
      </c>
      <c r="S109" s="72">
        <v>20</v>
      </c>
      <c r="T109" s="73">
        <f>$F109*S109</f>
        <v>1001.3</v>
      </c>
      <c r="U109" s="92">
        <v>25</v>
      </c>
      <c r="V109" s="75">
        <f>$F109*U109</f>
        <v>1251.625</v>
      </c>
      <c r="W109" s="93">
        <v>100</v>
      </c>
      <c r="X109" s="77">
        <f>$F109*W109</f>
        <v>5006.5</v>
      </c>
      <c r="Y109" s="94">
        <v>20</v>
      </c>
      <c r="Z109" s="78">
        <f>$F109*Y109</f>
        <v>1001.3</v>
      </c>
      <c r="AA109" s="88"/>
      <c r="AB109" s="88"/>
    </row>
    <row r="110" spans="1:28" x14ac:dyDescent="0.25">
      <c r="A110" s="234" t="s">
        <v>1529</v>
      </c>
      <c r="B110" s="119"/>
      <c r="C110" s="181" t="s">
        <v>147</v>
      </c>
      <c r="D110" s="177" t="s">
        <v>1</v>
      </c>
      <c r="E110" s="153">
        <f t="shared" si="19"/>
        <v>175</v>
      </c>
      <c r="F110" s="348">
        <f t="shared" si="22"/>
        <v>35.982500000000002</v>
      </c>
      <c r="G110" s="410">
        <f t="shared" si="21"/>
        <v>6296.9375</v>
      </c>
      <c r="H110" s="229" t="s">
        <v>1100</v>
      </c>
      <c r="I110" s="254">
        <v>43.08</v>
      </c>
      <c r="J110" s="31">
        <v>36.380000000000003</v>
      </c>
      <c r="K110" s="31">
        <v>41.14</v>
      </c>
      <c r="L110" s="31"/>
      <c r="M110" s="31"/>
      <c r="N110" s="31"/>
      <c r="O110" s="31">
        <v>31.41</v>
      </c>
      <c r="P110" s="31">
        <v>35</v>
      </c>
      <c r="Q110" s="91">
        <v>10</v>
      </c>
      <c r="R110" s="71">
        <f>$F110*Q110</f>
        <v>359.82500000000005</v>
      </c>
      <c r="S110" s="72">
        <v>20</v>
      </c>
      <c r="T110" s="73">
        <f>$F110*S110</f>
        <v>719.65000000000009</v>
      </c>
      <c r="U110" s="92">
        <v>25</v>
      </c>
      <c r="V110" s="75">
        <f>$F110*U110</f>
        <v>899.5625</v>
      </c>
      <c r="W110" s="93">
        <v>100</v>
      </c>
      <c r="X110" s="77">
        <f>$F110*W110</f>
        <v>3598.25</v>
      </c>
      <c r="Y110" s="94">
        <v>20</v>
      </c>
      <c r="Z110" s="78">
        <f>$F110*Y110</f>
        <v>719.65000000000009</v>
      </c>
      <c r="AA110" s="88"/>
      <c r="AB110" s="88"/>
    </row>
    <row r="111" spans="1:28" x14ac:dyDescent="0.25">
      <c r="A111" s="234" t="s">
        <v>1530</v>
      </c>
      <c r="B111" s="119"/>
      <c r="C111" s="181" t="s">
        <v>148</v>
      </c>
      <c r="D111" s="177" t="s">
        <v>1</v>
      </c>
      <c r="E111" s="153">
        <f t="shared" si="19"/>
        <v>155</v>
      </c>
      <c r="F111" s="348">
        <f t="shared" si="22"/>
        <v>32.084250000000004</v>
      </c>
      <c r="G111" s="410">
        <f t="shared" si="21"/>
        <v>4973.0587500000011</v>
      </c>
      <c r="H111" s="229" t="s">
        <v>1100</v>
      </c>
      <c r="I111" s="254">
        <v>70.25</v>
      </c>
      <c r="J111" s="31">
        <v>33.366999999999997</v>
      </c>
      <c r="K111" s="31">
        <v>30.27</v>
      </c>
      <c r="L111" s="31"/>
      <c r="M111" s="31"/>
      <c r="N111" s="31"/>
      <c r="O111" s="31">
        <v>35.9</v>
      </c>
      <c r="P111" s="31">
        <v>28.8</v>
      </c>
      <c r="Q111" s="91">
        <v>10</v>
      </c>
      <c r="R111" s="71">
        <f>$F111*Q111</f>
        <v>320.84250000000003</v>
      </c>
      <c r="S111" s="72">
        <v>20</v>
      </c>
      <c r="T111" s="73">
        <f>$F111*S111</f>
        <v>641.68500000000006</v>
      </c>
      <c r="U111" s="92">
        <v>25</v>
      </c>
      <c r="V111" s="75">
        <f>$F111*U111</f>
        <v>802.10625000000016</v>
      </c>
      <c r="W111" s="93">
        <v>80</v>
      </c>
      <c r="X111" s="77">
        <f>$F111*W111</f>
        <v>2566.7400000000002</v>
      </c>
      <c r="Y111" s="94">
        <v>20</v>
      </c>
      <c r="Z111" s="78">
        <f>$F111*Y111</f>
        <v>641.68500000000006</v>
      </c>
      <c r="AA111" s="88"/>
      <c r="AB111" s="88"/>
    </row>
    <row r="112" spans="1:28" ht="45" x14ac:dyDescent="0.25">
      <c r="A112" s="234" t="s">
        <v>1531</v>
      </c>
      <c r="B112">
        <v>3108</v>
      </c>
      <c r="C112" s="121" t="s">
        <v>608</v>
      </c>
      <c r="D112" t="s">
        <v>229</v>
      </c>
      <c r="E112" s="153">
        <f t="shared" si="19"/>
        <v>0</v>
      </c>
      <c r="F112" s="348">
        <f t="shared" si="22"/>
        <v>22.22</v>
      </c>
      <c r="G112" s="410">
        <f t="shared" si="21"/>
        <v>0</v>
      </c>
      <c r="H112" s="6" t="s">
        <v>175</v>
      </c>
      <c r="I112"/>
      <c r="J112" s="122">
        <v>22.22</v>
      </c>
      <c r="K112"/>
      <c r="L112"/>
      <c r="M112"/>
      <c r="N112"/>
      <c r="O112"/>
      <c r="P112"/>
      <c r="R112"/>
      <c r="T112"/>
      <c r="V112"/>
      <c r="X112"/>
      <c r="Z112"/>
    </row>
    <row r="113" spans="1:26" ht="45" x14ac:dyDescent="0.25">
      <c r="A113" s="234" t="s">
        <v>1532</v>
      </c>
      <c r="B113">
        <v>3105</v>
      </c>
      <c r="C113" s="121" t="s">
        <v>610</v>
      </c>
      <c r="D113" t="s">
        <v>229</v>
      </c>
      <c r="E113" s="153">
        <f t="shared" si="19"/>
        <v>0</v>
      </c>
      <c r="F113" s="348">
        <f t="shared" si="22"/>
        <v>34.520000000000003</v>
      </c>
      <c r="G113" s="410">
        <f t="shared" si="21"/>
        <v>0</v>
      </c>
      <c r="H113" s="6" t="s">
        <v>175</v>
      </c>
      <c r="I113"/>
      <c r="J113" s="122">
        <v>34.520000000000003</v>
      </c>
      <c r="K113"/>
      <c r="L113"/>
      <c r="M113"/>
      <c r="N113"/>
      <c r="O113"/>
      <c r="P113"/>
      <c r="R113"/>
      <c r="T113"/>
      <c r="V113"/>
      <c r="X113"/>
      <c r="Z113"/>
    </row>
    <row r="114" spans="1:26" ht="30" x14ac:dyDescent="0.25">
      <c r="A114" s="234" t="s">
        <v>1533</v>
      </c>
      <c r="B114">
        <v>11458</v>
      </c>
      <c r="C114" s="121" t="s">
        <v>612</v>
      </c>
      <c r="D114" t="s">
        <v>229</v>
      </c>
      <c r="E114" s="153">
        <f t="shared" si="19"/>
        <v>0</v>
      </c>
      <c r="F114" s="348">
        <f t="shared" si="22"/>
        <v>19.77</v>
      </c>
      <c r="G114" s="410">
        <f t="shared" si="21"/>
        <v>0</v>
      </c>
      <c r="H114" s="6" t="s">
        <v>175</v>
      </c>
      <c r="I114"/>
      <c r="J114" s="122">
        <v>19.77</v>
      </c>
      <c r="K114"/>
      <c r="L114"/>
      <c r="M114"/>
      <c r="N114"/>
      <c r="O114"/>
      <c r="P114"/>
      <c r="R114"/>
      <c r="T114"/>
      <c r="V114"/>
      <c r="X114"/>
      <c r="Z114"/>
    </row>
    <row r="115" spans="1:26" ht="45" x14ac:dyDescent="0.25">
      <c r="A115" s="234" t="s">
        <v>1534</v>
      </c>
      <c r="B115">
        <v>11461</v>
      </c>
      <c r="C115" s="121" t="s">
        <v>614</v>
      </c>
      <c r="D115" t="s">
        <v>229</v>
      </c>
      <c r="E115" s="153">
        <f t="shared" si="19"/>
        <v>0</v>
      </c>
      <c r="F115" s="348">
        <f t="shared" si="22"/>
        <v>5.01</v>
      </c>
      <c r="G115" s="410">
        <f t="shared" si="21"/>
        <v>0</v>
      </c>
      <c r="H115" s="6" t="s">
        <v>175</v>
      </c>
      <c r="I115"/>
      <c r="J115" s="122">
        <v>5.01</v>
      </c>
      <c r="K115"/>
      <c r="L115"/>
      <c r="M115"/>
      <c r="N115"/>
      <c r="O115"/>
      <c r="P115"/>
      <c r="R115"/>
      <c r="T115"/>
      <c r="V115"/>
      <c r="X115"/>
      <c r="Z115"/>
    </row>
    <row r="116" spans="1:26" ht="45" x14ac:dyDescent="0.25">
      <c r="A116" s="234" t="s">
        <v>1535</v>
      </c>
      <c r="B116">
        <v>3106</v>
      </c>
      <c r="C116" s="121" t="s">
        <v>819</v>
      </c>
      <c r="D116" t="s">
        <v>229</v>
      </c>
      <c r="E116" s="153">
        <f t="shared" si="19"/>
        <v>0</v>
      </c>
      <c r="F116" s="348">
        <f t="shared" si="22"/>
        <v>3.81</v>
      </c>
      <c r="G116" s="410">
        <f t="shared" si="21"/>
        <v>0</v>
      </c>
      <c r="H116" s="6" t="s">
        <v>175</v>
      </c>
      <c r="I116"/>
      <c r="J116" s="122">
        <v>3.81</v>
      </c>
      <c r="K116"/>
      <c r="L116"/>
      <c r="M116"/>
      <c r="N116"/>
      <c r="O116"/>
      <c r="P116"/>
      <c r="R116"/>
      <c r="T116"/>
      <c r="V116"/>
      <c r="X116"/>
      <c r="Z116"/>
    </row>
    <row r="117" spans="1:26" ht="45" x14ac:dyDescent="0.25">
      <c r="A117" s="234" t="s">
        <v>1536</v>
      </c>
      <c r="B117">
        <v>3107</v>
      </c>
      <c r="C117" s="121" t="s">
        <v>820</v>
      </c>
      <c r="D117" t="s">
        <v>229</v>
      </c>
      <c r="E117" s="153">
        <f t="shared" si="19"/>
        <v>0</v>
      </c>
      <c r="F117" s="348">
        <f t="shared" si="22"/>
        <v>3.21</v>
      </c>
      <c r="G117" s="410">
        <f t="shared" si="21"/>
        <v>0</v>
      </c>
      <c r="H117" s="6" t="s">
        <v>175</v>
      </c>
      <c r="I117"/>
      <c r="J117" s="122">
        <v>3.21</v>
      </c>
      <c r="K117"/>
      <c r="L117"/>
      <c r="M117"/>
      <c r="N117"/>
      <c r="O117"/>
      <c r="P117"/>
      <c r="R117"/>
      <c r="T117"/>
      <c r="V117"/>
      <c r="X117"/>
      <c r="Z117"/>
    </row>
    <row r="118" spans="1:26" ht="45" x14ac:dyDescent="0.25">
      <c r="A118" s="234" t="s">
        <v>1537</v>
      </c>
      <c r="B118">
        <v>3107</v>
      </c>
      <c r="C118" s="121" t="s">
        <v>820</v>
      </c>
      <c r="D118" t="s">
        <v>229</v>
      </c>
      <c r="E118" s="153">
        <f t="shared" si="19"/>
        <v>0</v>
      </c>
      <c r="F118" s="348">
        <f t="shared" si="22"/>
        <v>3.21</v>
      </c>
      <c r="G118" s="410">
        <f t="shared" si="21"/>
        <v>0</v>
      </c>
      <c r="H118" s="6" t="s">
        <v>175</v>
      </c>
      <c r="I118"/>
      <c r="J118" s="122">
        <v>3.21</v>
      </c>
      <c r="K118"/>
      <c r="L118"/>
      <c r="M118"/>
      <c r="N118"/>
      <c r="O118"/>
      <c r="P118"/>
      <c r="R118"/>
      <c r="T118"/>
      <c r="V118"/>
      <c r="X118"/>
      <c r="Z118"/>
    </row>
    <row r="119" spans="1:26" x14ac:dyDescent="0.25">
      <c r="A119" s="234" t="s">
        <v>1538</v>
      </c>
      <c r="B119" s="118"/>
      <c r="C119" s="237" t="s">
        <v>214</v>
      </c>
      <c r="D119" s="241" t="s">
        <v>83</v>
      </c>
      <c r="E119" s="153">
        <f t="shared" si="19"/>
        <v>570</v>
      </c>
      <c r="F119" s="348">
        <f t="shared" si="22"/>
        <v>37.61</v>
      </c>
      <c r="G119" s="410">
        <f t="shared" si="21"/>
        <v>21437.7</v>
      </c>
      <c r="H119" s="152"/>
      <c r="I119" s="243">
        <v>8.1999999999999993</v>
      </c>
      <c r="J119" s="31"/>
      <c r="K119" s="31">
        <v>6.22</v>
      </c>
      <c r="L119" s="31"/>
      <c r="M119" s="31"/>
      <c r="N119" s="31"/>
      <c r="O119" s="31"/>
      <c r="P119" s="31">
        <v>69</v>
      </c>
      <c r="Q119" s="27">
        <v>20</v>
      </c>
      <c r="R119" s="57">
        <f>$F119*Q119</f>
        <v>752.2</v>
      </c>
      <c r="S119" s="34">
        <v>300</v>
      </c>
      <c r="T119" s="60">
        <f>$F119*S119</f>
        <v>11283</v>
      </c>
      <c r="U119" s="35">
        <v>50</v>
      </c>
      <c r="V119" s="61">
        <f>$F119*U119</f>
        <v>1880.5</v>
      </c>
      <c r="W119" s="45">
        <v>100</v>
      </c>
      <c r="X119" s="62">
        <f>$F119*W119</f>
        <v>3761</v>
      </c>
      <c r="Y119" s="36">
        <v>100</v>
      </c>
      <c r="Z119" s="63">
        <f>$F119*Y119</f>
        <v>3761</v>
      </c>
    </row>
    <row r="120" spans="1:26" ht="30" x14ac:dyDescent="0.25">
      <c r="A120" s="234" t="s">
        <v>1539</v>
      </c>
      <c r="B120">
        <v>4310</v>
      </c>
      <c r="C120" s="121" t="s">
        <v>902</v>
      </c>
      <c r="D120" t="s">
        <v>229</v>
      </c>
      <c r="E120" s="153">
        <f t="shared" si="19"/>
        <v>0</v>
      </c>
      <c r="F120" s="348">
        <f t="shared" si="22"/>
        <v>1.91</v>
      </c>
      <c r="G120" s="410">
        <f t="shared" si="21"/>
        <v>0</v>
      </c>
      <c r="H120" s="6" t="s">
        <v>175</v>
      </c>
      <c r="I120"/>
      <c r="J120" s="122">
        <v>1.91</v>
      </c>
      <c r="K120"/>
      <c r="L120"/>
      <c r="M120"/>
      <c r="N120"/>
      <c r="O120"/>
      <c r="P120"/>
      <c r="R120"/>
      <c r="T120"/>
      <c r="V120"/>
      <c r="X120"/>
      <c r="Z120"/>
    </row>
    <row r="121" spans="1:26" ht="30" x14ac:dyDescent="0.25">
      <c r="A121" s="234" t="s">
        <v>1540</v>
      </c>
      <c r="B121">
        <v>4311</v>
      </c>
      <c r="C121" s="121" t="s">
        <v>903</v>
      </c>
      <c r="D121" t="s">
        <v>229</v>
      </c>
      <c r="E121" s="153">
        <f t="shared" si="19"/>
        <v>0</v>
      </c>
      <c r="F121" s="348">
        <f t="shared" si="22"/>
        <v>1.34</v>
      </c>
      <c r="G121" s="410">
        <f t="shared" si="21"/>
        <v>0</v>
      </c>
      <c r="H121" s="6" t="s">
        <v>175</v>
      </c>
      <c r="I121"/>
      <c r="J121" s="122">
        <v>1.34</v>
      </c>
      <c r="K121"/>
      <c r="L121"/>
      <c r="M121"/>
      <c r="N121"/>
      <c r="O121"/>
      <c r="P121"/>
      <c r="R121"/>
      <c r="T121"/>
      <c r="V121"/>
      <c r="X121"/>
      <c r="Z121"/>
    </row>
    <row r="122" spans="1:26" ht="30" x14ac:dyDescent="0.25">
      <c r="A122" s="234" t="s">
        <v>1541</v>
      </c>
      <c r="B122">
        <v>4312</v>
      </c>
      <c r="C122" s="121" t="s">
        <v>904</v>
      </c>
      <c r="D122" t="s">
        <v>229</v>
      </c>
      <c r="E122" s="153">
        <f t="shared" si="19"/>
        <v>0</v>
      </c>
      <c r="F122" s="348">
        <f t="shared" si="22"/>
        <v>1.88</v>
      </c>
      <c r="G122" s="410">
        <f t="shared" si="21"/>
        <v>0</v>
      </c>
      <c r="H122" s="6" t="s">
        <v>175</v>
      </c>
      <c r="I122"/>
      <c r="J122" s="122">
        <v>1.88</v>
      </c>
      <c r="K122"/>
      <c r="L122"/>
      <c r="M122"/>
      <c r="N122"/>
      <c r="O122"/>
      <c r="P122"/>
      <c r="R122"/>
      <c r="T122"/>
      <c r="V122"/>
      <c r="X122"/>
      <c r="Z122"/>
    </row>
    <row r="123" spans="1:26" ht="45" x14ac:dyDescent="0.25">
      <c r="A123" s="234" t="s">
        <v>1542</v>
      </c>
      <c r="B123" s="123">
        <v>3275</v>
      </c>
      <c r="C123" s="124" t="s">
        <v>995</v>
      </c>
      <c r="D123" s="6" t="s">
        <v>572</v>
      </c>
      <c r="E123" s="153">
        <f t="shared" si="19"/>
        <v>0</v>
      </c>
      <c r="F123" s="348">
        <f t="shared" si="22"/>
        <v>75.98</v>
      </c>
      <c r="G123" s="410">
        <f t="shared" si="21"/>
        <v>0</v>
      </c>
      <c r="H123" s="6" t="s">
        <v>175</v>
      </c>
      <c r="I123" s="6"/>
      <c r="J123" s="59">
        <v>75.98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123"/>
    </row>
    <row r="124" spans="1:26" ht="45" x14ac:dyDescent="0.25">
      <c r="A124" s="234" t="s">
        <v>1543</v>
      </c>
      <c r="B124">
        <v>11587</v>
      </c>
      <c r="C124" s="121" t="s">
        <v>999</v>
      </c>
      <c r="D124" t="s">
        <v>572</v>
      </c>
      <c r="E124" s="153">
        <f t="shared" si="19"/>
        <v>0</v>
      </c>
      <c r="F124" s="348">
        <f t="shared" si="22"/>
        <v>52.1</v>
      </c>
      <c r="G124" s="410">
        <f t="shared" si="21"/>
        <v>0</v>
      </c>
      <c r="H124" s="6" t="s">
        <v>175</v>
      </c>
      <c r="I124"/>
      <c r="J124" s="122">
        <v>52.1</v>
      </c>
      <c r="K124"/>
      <c r="L124"/>
      <c r="M124"/>
      <c r="N124"/>
      <c r="O124"/>
      <c r="P124"/>
      <c r="R124"/>
      <c r="T124"/>
      <c r="V124"/>
      <c r="X124"/>
      <c r="Z124"/>
    </row>
    <row r="125" spans="1:26" ht="30" x14ac:dyDescent="0.25">
      <c r="A125" s="234" t="s">
        <v>1544</v>
      </c>
      <c r="B125">
        <v>36225</v>
      </c>
      <c r="C125" s="121" t="s">
        <v>1000</v>
      </c>
      <c r="D125" t="s">
        <v>572</v>
      </c>
      <c r="E125" s="153">
        <f t="shared" si="19"/>
        <v>0</v>
      </c>
      <c r="F125" s="348">
        <f t="shared" si="22"/>
        <v>21.16</v>
      </c>
      <c r="G125" s="410">
        <f t="shared" si="21"/>
        <v>0</v>
      </c>
      <c r="H125" s="6" t="s">
        <v>175</v>
      </c>
      <c r="I125"/>
      <c r="J125" s="122">
        <v>21.16</v>
      </c>
      <c r="K125"/>
      <c r="L125"/>
      <c r="M125"/>
      <c r="N125"/>
      <c r="O125"/>
      <c r="P125"/>
      <c r="R125"/>
      <c r="T125"/>
      <c r="V125"/>
      <c r="X125"/>
      <c r="Z125"/>
    </row>
    <row r="126" spans="1:26" ht="45" x14ac:dyDescent="0.25">
      <c r="A126" s="234" t="s">
        <v>1545</v>
      </c>
      <c r="B126">
        <v>36230</v>
      </c>
      <c r="C126" s="121" t="s">
        <v>1001</v>
      </c>
      <c r="D126" t="s">
        <v>572</v>
      </c>
      <c r="E126" s="153">
        <f t="shared" si="19"/>
        <v>0</v>
      </c>
      <c r="F126" s="348">
        <f t="shared" si="22"/>
        <v>15.55</v>
      </c>
      <c r="G126" s="410">
        <f t="shared" si="21"/>
        <v>0</v>
      </c>
      <c r="H126" s="6" t="s">
        <v>175</v>
      </c>
      <c r="I126"/>
      <c r="J126" s="122">
        <v>15.55</v>
      </c>
      <c r="K126"/>
      <c r="L126"/>
      <c r="M126"/>
      <c r="N126"/>
      <c r="O126"/>
      <c r="P126"/>
      <c r="R126"/>
      <c r="T126"/>
      <c r="V126"/>
      <c r="X126"/>
      <c r="Z126"/>
    </row>
    <row r="127" spans="1:26" ht="45" x14ac:dyDescent="0.25">
      <c r="A127" s="234" t="s">
        <v>1546</v>
      </c>
      <c r="B127">
        <v>36238</v>
      </c>
      <c r="C127" s="121" t="s">
        <v>1002</v>
      </c>
      <c r="D127" t="s">
        <v>572</v>
      </c>
      <c r="E127" s="153">
        <f t="shared" si="19"/>
        <v>0</v>
      </c>
      <c r="F127" s="348">
        <f t="shared" si="22"/>
        <v>15.19</v>
      </c>
      <c r="G127" s="410">
        <f t="shared" si="21"/>
        <v>0</v>
      </c>
      <c r="H127" s="6" t="s">
        <v>175</v>
      </c>
      <c r="I127"/>
      <c r="J127" s="122">
        <v>15.19</v>
      </c>
      <c r="K127"/>
      <c r="L127"/>
      <c r="M127"/>
      <c r="N127"/>
      <c r="O127"/>
      <c r="P127"/>
      <c r="R127"/>
      <c r="T127"/>
      <c r="V127"/>
      <c r="X127"/>
      <c r="Z127"/>
    </row>
    <row r="128" spans="1:26" x14ac:dyDescent="0.25">
      <c r="A128" s="234" t="s">
        <v>1547</v>
      </c>
      <c r="B128" s="118"/>
      <c r="C128" s="237" t="s">
        <v>177</v>
      </c>
      <c r="D128" s="241" t="s">
        <v>1</v>
      </c>
      <c r="E128" s="153">
        <f t="shared" si="19"/>
        <v>435</v>
      </c>
      <c r="F128" s="348">
        <f t="shared" si="22"/>
        <v>21.302</v>
      </c>
      <c r="G128" s="410">
        <f t="shared" si="21"/>
        <v>9266.3700000000008</v>
      </c>
      <c r="H128" s="152"/>
      <c r="I128" s="243">
        <v>15.78</v>
      </c>
      <c r="J128" s="31">
        <v>14.55</v>
      </c>
      <c r="K128" s="31">
        <v>14.59</v>
      </c>
      <c r="L128" s="31">
        <v>31.08</v>
      </c>
      <c r="M128" s="31">
        <v>30.09</v>
      </c>
      <c r="N128" s="31"/>
      <c r="O128" s="31"/>
      <c r="P128" s="31">
        <v>16.2</v>
      </c>
      <c r="Q128" s="27">
        <v>20</v>
      </c>
      <c r="R128" s="57">
        <f>$F128*Q128</f>
        <v>426.03999999999996</v>
      </c>
      <c r="S128" s="34">
        <v>200</v>
      </c>
      <c r="T128" s="60">
        <f>$F128*S128</f>
        <v>4260.3999999999996</v>
      </c>
      <c r="U128" s="35">
        <v>100</v>
      </c>
      <c r="V128" s="61">
        <f>$F128*U128</f>
        <v>2130.1999999999998</v>
      </c>
      <c r="W128" s="45">
        <v>100</v>
      </c>
      <c r="X128" s="62">
        <f>$F128*W128</f>
        <v>2130.1999999999998</v>
      </c>
      <c r="Y128" s="36">
        <v>15</v>
      </c>
      <c r="Z128" s="63">
        <f>$F128*Y128</f>
        <v>319.52999999999997</v>
      </c>
    </row>
    <row r="129" spans="1:26" s="6" customFormat="1" ht="25.5" x14ac:dyDescent="0.25">
      <c r="A129" s="234" t="s">
        <v>1548</v>
      </c>
      <c r="B129" s="9"/>
      <c r="C129" s="11" t="s">
        <v>86</v>
      </c>
      <c r="D129" s="5" t="s">
        <v>1</v>
      </c>
      <c r="E129" s="153">
        <f t="shared" si="19"/>
        <v>15</v>
      </c>
      <c r="F129" s="348">
        <f t="shared" si="22"/>
        <v>346.17499999999995</v>
      </c>
      <c r="G129" s="410">
        <f t="shared" si="21"/>
        <v>5192.625</v>
      </c>
      <c r="H129" s="411"/>
      <c r="I129" s="2">
        <v>457.5</v>
      </c>
      <c r="J129" s="29"/>
      <c r="K129" s="30">
        <v>382</v>
      </c>
      <c r="L129" s="29">
        <v>357.8</v>
      </c>
      <c r="M129" s="30"/>
      <c r="N129" s="29"/>
      <c r="O129" s="29">
        <v>259.89999999999998</v>
      </c>
      <c r="P129" s="30">
        <v>385</v>
      </c>
      <c r="Q129" s="27">
        <v>1</v>
      </c>
      <c r="R129" s="57">
        <f>$F129*Q129</f>
        <v>346.17499999999995</v>
      </c>
      <c r="S129" s="34">
        <v>5</v>
      </c>
      <c r="T129" s="60">
        <f>$F129*S129</f>
        <v>1730.8749999999998</v>
      </c>
      <c r="U129" s="35">
        <v>3</v>
      </c>
      <c r="V129" s="61">
        <f>$F129*U129</f>
        <v>1038.5249999999999</v>
      </c>
      <c r="W129" s="45">
        <v>1</v>
      </c>
      <c r="X129" s="62">
        <f>$F129*W129</f>
        <v>346.17499999999995</v>
      </c>
      <c r="Y129" s="36">
        <v>5</v>
      </c>
      <c r="Z129" s="63">
        <f>$F129*Y129</f>
        <v>1730.8749999999998</v>
      </c>
    </row>
    <row r="130" spans="1:26" s="6" customFormat="1" ht="45" x14ac:dyDescent="0.25">
      <c r="A130" s="234" t="s">
        <v>1549</v>
      </c>
      <c r="B130">
        <v>4315</v>
      </c>
      <c r="C130" s="130" t="s">
        <v>905</v>
      </c>
      <c r="D130" s="125" t="s">
        <v>229</v>
      </c>
      <c r="E130" s="153">
        <f t="shared" si="19"/>
        <v>0</v>
      </c>
      <c r="F130" s="348">
        <f t="shared" si="22"/>
        <v>1.38</v>
      </c>
      <c r="G130" s="410">
        <f t="shared" si="21"/>
        <v>0</v>
      </c>
      <c r="H130" s="222" t="s">
        <v>175</v>
      </c>
      <c r="I130" s="125"/>
      <c r="J130" s="138">
        <v>1.38</v>
      </c>
      <c r="K130" s="126"/>
      <c r="L130" s="125"/>
      <c r="M130" s="126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spans="1:26" s="6" customFormat="1" ht="30" x14ac:dyDescent="0.25">
      <c r="A131" s="234" t="s">
        <v>1550</v>
      </c>
      <c r="B131">
        <v>42482</v>
      </c>
      <c r="C131" s="130" t="s">
        <v>906</v>
      </c>
      <c r="D131" s="125" t="s">
        <v>229</v>
      </c>
      <c r="E131" s="153">
        <f t="shared" si="19"/>
        <v>0</v>
      </c>
      <c r="F131" s="348">
        <f t="shared" si="22"/>
        <v>1.85</v>
      </c>
      <c r="G131" s="410">
        <f t="shared" si="21"/>
        <v>0</v>
      </c>
      <c r="H131" s="222" t="s">
        <v>175</v>
      </c>
      <c r="I131" s="125"/>
      <c r="J131" s="138">
        <v>1.85</v>
      </c>
      <c r="K131" s="126"/>
      <c r="L131" s="125"/>
      <c r="M131" s="126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spans="1:26" s="6" customFormat="1" x14ac:dyDescent="0.25">
      <c r="A132" s="234" t="s">
        <v>1551</v>
      </c>
      <c r="B132" s="125">
        <v>3315</v>
      </c>
      <c r="C132" s="127" t="s">
        <v>781</v>
      </c>
      <c r="D132" s="125" t="s">
        <v>236</v>
      </c>
      <c r="E132" s="153">
        <f t="shared" si="19"/>
        <v>0</v>
      </c>
      <c r="F132" s="348">
        <f t="shared" si="22"/>
        <v>0.62</v>
      </c>
      <c r="G132" s="410">
        <f t="shared" si="21"/>
        <v>0</v>
      </c>
      <c r="H132" s="222" t="s">
        <v>175</v>
      </c>
      <c r="I132" s="125"/>
      <c r="J132" s="138">
        <v>0.62</v>
      </c>
      <c r="K132" s="126"/>
      <c r="L132" s="125"/>
      <c r="M132" s="126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spans="1:26" s="6" customFormat="1" x14ac:dyDescent="0.25">
      <c r="A133" s="234" t="s">
        <v>1552</v>
      </c>
      <c r="B133" s="10"/>
      <c r="C133" s="12" t="s">
        <v>87</v>
      </c>
      <c r="D133" s="5" t="s">
        <v>88</v>
      </c>
      <c r="E133" s="153">
        <f t="shared" ref="E133:E196" si="23">Q133+S133+U133+W133+Y133</f>
        <v>74</v>
      </c>
      <c r="F133" s="348">
        <f t="shared" ref="F133:F147" si="24">IF(H133="SINAPI",J133,AVERAGE(J133:P133))</f>
        <v>13.520000000000001</v>
      </c>
      <c r="G133" s="410">
        <f t="shared" ref="G133:G196" si="25">R133+T133+V133+X133+Z133</f>
        <v>1000.4800000000001</v>
      </c>
      <c r="H133" s="411"/>
      <c r="I133" s="2">
        <v>14.65</v>
      </c>
      <c r="J133" s="29"/>
      <c r="K133" s="30">
        <v>13.39</v>
      </c>
      <c r="L133" s="29">
        <v>8.99</v>
      </c>
      <c r="M133" s="30">
        <v>16.3</v>
      </c>
      <c r="N133" s="29"/>
      <c r="O133" s="29"/>
      <c r="P133" s="29">
        <v>15.4</v>
      </c>
      <c r="Q133" s="27">
        <v>5</v>
      </c>
      <c r="R133" s="57">
        <f>$F133*Q133</f>
        <v>67.600000000000009</v>
      </c>
      <c r="S133" s="34">
        <v>3</v>
      </c>
      <c r="T133" s="60">
        <f>$F133*S133</f>
        <v>40.56</v>
      </c>
      <c r="U133" s="35">
        <v>1</v>
      </c>
      <c r="V133" s="61">
        <f>$F133*U133</f>
        <v>13.520000000000001</v>
      </c>
      <c r="W133" s="45">
        <v>15</v>
      </c>
      <c r="X133" s="62">
        <f>$F133*W133</f>
        <v>202.8</v>
      </c>
      <c r="Y133" s="36">
        <v>50</v>
      </c>
      <c r="Z133" s="63">
        <f>$F133*Y133</f>
        <v>676.00000000000011</v>
      </c>
    </row>
    <row r="134" spans="1:26" s="6" customFormat="1" ht="30" x14ac:dyDescent="0.25">
      <c r="A134" s="234" t="s">
        <v>1553</v>
      </c>
      <c r="B134" s="125">
        <v>151</v>
      </c>
      <c r="C134" s="127" t="s">
        <v>907</v>
      </c>
      <c r="D134" s="125" t="s">
        <v>778</v>
      </c>
      <c r="E134" s="153">
        <f t="shared" si="23"/>
        <v>0</v>
      </c>
      <c r="F134" s="348">
        <f t="shared" si="24"/>
        <v>17.84</v>
      </c>
      <c r="G134" s="410">
        <f t="shared" si="25"/>
        <v>0</v>
      </c>
      <c r="H134" s="222" t="s">
        <v>175</v>
      </c>
      <c r="I134" s="125"/>
      <c r="J134" s="138">
        <v>17.84</v>
      </c>
      <c r="K134" s="126"/>
      <c r="L134" s="125"/>
      <c r="M134" s="126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spans="1:26" s="6" customFormat="1" x14ac:dyDescent="0.25">
      <c r="A135" s="234" t="s">
        <v>1554</v>
      </c>
      <c r="B135" s="10"/>
      <c r="C135" s="11" t="s">
        <v>89</v>
      </c>
      <c r="D135" s="5" t="s">
        <v>1</v>
      </c>
      <c r="E135" s="153">
        <f t="shared" si="23"/>
        <v>24</v>
      </c>
      <c r="F135" s="348">
        <f t="shared" si="24"/>
        <v>49.95</v>
      </c>
      <c r="G135" s="410">
        <f t="shared" si="25"/>
        <v>1198.8</v>
      </c>
      <c r="H135" s="411"/>
      <c r="I135" s="3">
        <v>38.56</v>
      </c>
      <c r="J135" s="29"/>
      <c r="K135" s="30">
        <v>50</v>
      </c>
      <c r="L135" s="29">
        <v>49.9</v>
      </c>
      <c r="M135" s="30"/>
      <c r="N135" s="29"/>
      <c r="O135" s="29"/>
      <c r="P135" s="29"/>
      <c r="Q135" s="27">
        <v>2</v>
      </c>
      <c r="R135" s="57">
        <f>$F135*Q135</f>
        <v>99.9</v>
      </c>
      <c r="S135" s="34">
        <v>5</v>
      </c>
      <c r="T135" s="60">
        <f>$F135*S135</f>
        <v>249.75</v>
      </c>
      <c r="U135" s="35">
        <v>10</v>
      </c>
      <c r="V135" s="61">
        <f>$F135*U135</f>
        <v>499.5</v>
      </c>
      <c r="W135" s="45">
        <v>2</v>
      </c>
      <c r="X135" s="62">
        <f>$F135*W135</f>
        <v>99.9</v>
      </c>
      <c r="Y135" s="36">
        <v>5</v>
      </c>
      <c r="Z135" s="63">
        <f>$F135*Y135</f>
        <v>249.75</v>
      </c>
    </row>
    <row r="136" spans="1:26" s="6" customFormat="1" ht="30" x14ac:dyDescent="0.25">
      <c r="A136" s="234" t="s">
        <v>1555</v>
      </c>
      <c r="B136" s="125">
        <v>3672</v>
      </c>
      <c r="C136" s="127" t="s">
        <v>1031</v>
      </c>
      <c r="D136" s="125" t="s">
        <v>237</v>
      </c>
      <c r="E136" s="153">
        <f t="shared" si="23"/>
        <v>0</v>
      </c>
      <c r="F136" s="348">
        <f t="shared" si="24"/>
        <v>0.93</v>
      </c>
      <c r="G136" s="410">
        <f t="shared" si="25"/>
        <v>0</v>
      </c>
      <c r="H136" s="222" t="s">
        <v>175</v>
      </c>
      <c r="I136" s="125"/>
      <c r="J136" s="138">
        <v>0.93</v>
      </c>
      <c r="K136" s="126"/>
      <c r="L136" s="125"/>
      <c r="M136" s="126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spans="1:26" s="6" customFormat="1" ht="30" x14ac:dyDescent="0.25">
      <c r="A137" s="234" t="s">
        <v>1556</v>
      </c>
      <c r="B137" s="125">
        <v>3671</v>
      </c>
      <c r="C137" s="127" t="s">
        <v>1032</v>
      </c>
      <c r="D137" s="125" t="s">
        <v>237</v>
      </c>
      <c r="E137" s="153">
        <f t="shared" si="23"/>
        <v>0</v>
      </c>
      <c r="F137" s="348">
        <f t="shared" si="24"/>
        <v>0.88</v>
      </c>
      <c r="G137" s="410">
        <f t="shared" si="25"/>
        <v>0</v>
      </c>
      <c r="H137" s="222" t="s">
        <v>175</v>
      </c>
      <c r="I137" s="125"/>
      <c r="J137" s="138">
        <v>0.88</v>
      </c>
      <c r="K137" s="126"/>
      <c r="L137" s="125"/>
      <c r="M137" s="126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spans="1:26" s="6" customFormat="1" ht="30" x14ac:dyDescent="0.25">
      <c r="A138" s="234" t="s">
        <v>1557</v>
      </c>
      <c r="B138" s="125">
        <v>3673</v>
      </c>
      <c r="C138" s="127" t="s">
        <v>1033</v>
      </c>
      <c r="D138" s="125" t="s">
        <v>237</v>
      </c>
      <c r="E138" s="153">
        <f t="shared" si="23"/>
        <v>0</v>
      </c>
      <c r="F138" s="348">
        <f t="shared" si="24"/>
        <v>1.38</v>
      </c>
      <c r="G138" s="410">
        <f t="shared" si="25"/>
        <v>0</v>
      </c>
      <c r="H138" s="222" t="s">
        <v>175</v>
      </c>
      <c r="I138" s="125"/>
      <c r="J138" s="138">
        <v>1.38</v>
      </c>
      <c r="K138" s="126"/>
      <c r="L138" s="125"/>
      <c r="M138" s="126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spans="1:26" s="6" customFormat="1" ht="45" x14ac:dyDescent="0.25">
      <c r="A139" s="234" t="s">
        <v>1558</v>
      </c>
      <c r="B139" s="125">
        <v>13343</v>
      </c>
      <c r="C139" s="127" t="s">
        <v>943</v>
      </c>
      <c r="D139" s="125" t="s">
        <v>229</v>
      </c>
      <c r="E139" s="153">
        <f t="shared" si="23"/>
        <v>0</v>
      </c>
      <c r="F139" s="348">
        <f t="shared" si="24"/>
        <v>24.31</v>
      </c>
      <c r="G139" s="410">
        <f t="shared" si="25"/>
        <v>0</v>
      </c>
      <c r="H139" s="222" t="s">
        <v>175</v>
      </c>
      <c r="I139" s="125"/>
      <c r="J139" s="138">
        <v>24.31</v>
      </c>
      <c r="K139" s="126"/>
      <c r="L139" s="125"/>
      <c r="M139" s="126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spans="1:26" s="6" customFormat="1" ht="75" x14ac:dyDescent="0.25">
      <c r="A140" s="234" t="s">
        <v>1559</v>
      </c>
      <c r="B140" s="222">
        <v>39497</v>
      </c>
      <c r="C140" s="239" t="s">
        <v>1089</v>
      </c>
      <c r="D140" s="222" t="s">
        <v>229</v>
      </c>
      <c r="E140" s="153">
        <f t="shared" si="23"/>
        <v>0</v>
      </c>
      <c r="F140" s="348">
        <f t="shared" si="24"/>
        <v>325.43</v>
      </c>
      <c r="G140" s="410">
        <f t="shared" si="25"/>
        <v>0</v>
      </c>
      <c r="H140" s="222" t="s">
        <v>175</v>
      </c>
      <c r="I140" s="222"/>
      <c r="J140" s="242">
        <v>325.43</v>
      </c>
      <c r="K140" s="225"/>
      <c r="L140" s="222"/>
      <c r="M140" s="225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</row>
    <row r="141" spans="1:26" s="6" customFormat="1" ht="45" x14ac:dyDescent="0.25">
      <c r="A141" s="234" t="s">
        <v>1560</v>
      </c>
      <c r="B141" s="125">
        <v>3745</v>
      </c>
      <c r="C141" s="127" t="s">
        <v>1003</v>
      </c>
      <c r="D141" s="125" t="s">
        <v>572</v>
      </c>
      <c r="E141" s="153">
        <f t="shared" si="23"/>
        <v>0</v>
      </c>
      <c r="F141" s="348">
        <f t="shared" si="24"/>
        <v>33.72</v>
      </c>
      <c r="G141" s="410">
        <f t="shared" si="25"/>
        <v>0</v>
      </c>
      <c r="H141" s="222" t="s">
        <v>175</v>
      </c>
      <c r="I141" s="125"/>
      <c r="J141" s="138">
        <v>33.72</v>
      </c>
      <c r="K141" s="126"/>
      <c r="L141" s="125"/>
      <c r="M141" s="126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spans="1:26" s="6" customFormat="1" ht="45" x14ac:dyDescent="0.25">
      <c r="A142" s="234" t="s">
        <v>1561</v>
      </c>
      <c r="B142" s="125">
        <v>3743</v>
      </c>
      <c r="C142" s="127" t="s">
        <v>1034</v>
      </c>
      <c r="D142" s="125" t="s">
        <v>572</v>
      </c>
      <c r="E142" s="153">
        <f t="shared" si="23"/>
        <v>0</v>
      </c>
      <c r="F142" s="348">
        <f t="shared" si="24"/>
        <v>31.16</v>
      </c>
      <c r="G142" s="410">
        <f t="shared" si="25"/>
        <v>0</v>
      </c>
      <c r="H142" s="222" t="s">
        <v>175</v>
      </c>
      <c r="I142" s="125"/>
      <c r="J142" s="138">
        <v>31.16</v>
      </c>
      <c r="K142" s="126"/>
      <c r="L142" s="125"/>
      <c r="M142" s="126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spans="1:26" s="6" customFormat="1" ht="45" x14ac:dyDescent="0.25">
      <c r="A143" s="234" t="s">
        <v>1562</v>
      </c>
      <c r="B143" s="125">
        <v>3744</v>
      </c>
      <c r="C143" s="127" t="s">
        <v>1035</v>
      </c>
      <c r="D143" s="125" t="s">
        <v>572</v>
      </c>
      <c r="E143" s="153">
        <f t="shared" si="23"/>
        <v>0</v>
      </c>
      <c r="F143" s="348">
        <f t="shared" si="24"/>
        <v>34.299999999999997</v>
      </c>
      <c r="G143" s="410">
        <f t="shared" si="25"/>
        <v>0</v>
      </c>
      <c r="H143" s="222" t="s">
        <v>175</v>
      </c>
      <c r="I143" s="125"/>
      <c r="J143" s="138">
        <v>34.299999999999997</v>
      </c>
      <c r="K143" s="126"/>
      <c r="L143" s="125"/>
      <c r="M143" s="126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spans="1:26" s="6" customFormat="1" ht="45" x14ac:dyDescent="0.25">
      <c r="A144" s="234" t="s">
        <v>1563</v>
      </c>
      <c r="B144" s="125">
        <v>3739</v>
      </c>
      <c r="C144" s="127" t="s">
        <v>1036</v>
      </c>
      <c r="D144" s="125" t="s">
        <v>572</v>
      </c>
      <c r="E144" s="153">
        <f t="shared" si="23"/>
        <v>0</v>
      </c>
      <c r="F144" s="348">
        <f t="shared" si="24"/>
        <v>36.04</v>
      </c>
      <c r="G144" s="410">
        <f t="shared" si="25"/>
        <v>0</v>
      </c>
      <c r="H144" s="222" t="s">
        <v>175</v>
      </c>
      <c r="I144" s="125"/>
      <c r="J144" s="138">
        <v>36.04</v>
      </c>
      <c r="K144" s="126"/>
      <c r="L144" s="125"/>
      <c r="M144" s="126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</row>
    <row r="145" spans="1:28" s="6" customFormat="1" ht="45" x14ac:dyDescent="0.25">
      <c r="A145" s="234" t="s">
        <v>1564</v>
      </c>
      <c r="B145" s="125">
        <v>3737</v>
      </c>
      <c r="C145" s="127" t="s">
        <v>1037</v>
      </c>
      <c r="D145" s="125" t="s">
        <v>572</v>
      </c>
      <c r="E145" s="153">
        <f t="shared" si="23"/>
        <v>0</v>
      </c>
      <c r="F145" s="348">
        <f t="shared" si="24"/>
        <v>37.79</v>
      </c>
      <c r="G145" s="410">
        <f t="shared" si="25"/>
        <v>0</v>
      </c>
      <c r="H145" s="222" t="s">
        <v>175</v>
      </c>
      <c r="I145" s="125"/>
      <c r="J145" s="138">
        <v>37.79</v>
      </c>
      <c r="K145" s="126"/>
      <c r="L145" s="125"/>
      <c r="M145" s="126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</row>
    <row r="146" spans="1:28" s="6" customFormat="1" ht="45" x14ac:dyDescent="0.25">
      <c r="A146" s="234" t="s">
        <v>1565</v>
      </c>
      <c r="B146" s="125">
        <v>3738</v>
      </c>
      <c r="C146" s="127" t="s">
        <v>1038</v>
      </c>
      <c r="D146" s="125" t="s">
        <v>572</v>
      </c>
      <c r="E146" s="153">
        <f t="shared" si="23"/>
        <v>0</v>
      </c>
      <c r="F146" s="348">
        <f t="shared" si="24"/>
        <v>43.6</v>
      </c>
      <c r="G146" s="410">
        <f t="shared" si="25"/>
        <v>0</v>
      </c>
      <c r="H146" s="222" t="s">
        <v>175</v>
      </c>
      <c r="I146" s="125"/>
      <c r="J146" s="138">
        <v>43.6</v>
      </c>
      <c r="K146" s="126"/>
      <c r="L146" s="125"/>
      <c r="M146" s="126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</row>
    <row r="147" spans="1:28" s="6" customFormat="1" ht="45" x14ac:dyDescent="0.25">
      <c r="A147" s="234" t="s">
        <v>1566</v>
      </c>
      <c r="B147" s="125">
        <v>3742</v>
      </c>
      <c r="C147" s="127" t="s">
        <v>1004</v>
      </c>
      <c r="D147" s="125" t="s">
        <v>572</v>
      </c>
      <c r="E147" s="153">
        <f t="shared" si="23"/>
        <v>0</v>
      </c>
      <c r="F147" s="348">
        <f t="shared" si="24"/>
        <v>45.23</v>
      </c>
      <c r="G147" s="410">
        <f t="shared" si="25"/>
        <v>0</v>
      </c>
      <c r="H147" s="222" t="s">
        <v>175</v>
      </c>
      <c r="I147" s="125"/>
      <c r="J147" s="138">
        <v>45.23</v>
      </c>
      <c r="K147" s="126"/>
      <c r="L147" s="125"/>
      <c r="M147" s="126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</row>
    <row r="148" spans="1:28" s="6" customFormat="1" x14ac:dyDescent="0.25">
      <c r="A148" s="234" t="s">
        <v>1567</v>
      </c>
      <c r="B148" s="84"/>
      <c r="C148" s="85" t="s">
        <v>150</v>
      </c>
      <c r="D148" s="67" t="s">
        <v>83</v>
      </c>
      <c r="E148" s="153">
        <f t="shared" si="23"/>
        <v>105</v>
      </c>
      <c r="F148" s="348">
        <f t="shared" ref="F148:F149" si="26">IF(H148="SINAPI",J148,AVERAGE(J148:P148))</f>
        <v>34.880000000000003</v>
      </c>
      <c r="G148" s="410">
        <f t="shared" si="25"/>
        <v>3662.4000000000005</v>
      </c>
      <c r="H148" s="227" t="s">
        <v>1100</v>
      </c>
      <c r="I148" s="99">
        <v>34.880000000000003</v>
      </c>
      <c r="J148" s="29"/>
      <c r="K148" s="30"/>
      <c r="L148" s="29"/>
      <c r="M148" s="30"/>
      <c r="N148" s="99">
        <v>34.880000000000003</v>
      </c>
      <c r="O148" s="29"/>
      <c r="P148" s="29"/>
      <c r="Q148" s="95">
        <v>10</v>
      </c>
      <c r="R148" s="71">
        <f>$F148*Q148</f>
        <v>348.8</v>
      </c>
      <c r="S148" s="72">
        <v>20</v>
      </c>
      <c r="T148" s="73">
        <f>$F148*S148</f>
        <v>697.6</v>
      </c>
      <c r="U148" s="92">
        <v>25</v>
      </c>
      <c r="V148" s="75">
        <f>$F148*U148</f>
        <v>872.00000000000011</v>
      </c>
      <c r="W148" s="93">
        <v>0</v>
      </c>
      <c r="X148" s="77">
        <f>$F148*W148</f>
        <v>0</v>
      </c>
      <c r="Y148" s="94">
        <v>50</v>
      </c>
      <c r="Z148" s="78">
        <f>$F148*Y148</f>
        <v>1744.0000000000002</v>
      </c>
      <c r="AA148" s="88"/>
      <c r="AB148" s="88"/>
    </row>
    <row r="149" spans="1:28" s="6" customFormat="1" x14ac:dyDescent="0.25">
      <c r="A149" s="234" t="s">
        <v>1568</v>
      </c>
      <c r="B149" s="84"/>
      <c r="C149" s="85" t="s">
        <v>151</v>
      </c>
      <c r="D149" s="67" t="s">
        <v>83</v>
      </c>
      <c r="E149" s="153">
        <f t="shared" si="23"/>
        <v>85</v>
      </c>
      <c r="F149" s="348">
        <f t="shared" si="26"/>
        <v>62</v>
      </c>
      <c r="G149" s="410">
        <f t="shared" si="25"/>
        <v>5270</v>
      </c>
      <c r="H149" s="227" t="s">
        <v>1100</v>
      </c>
      <c r="I149" s="99">
        <v>62</v>
      </c>
      <c r="J149" s="29"/>
      <c r="K149" s="30"/>
      <c r="L149" s="29"/>
      <c r="M149" s="30"/>
      <c r="N149" s="99">
        <v>62</v>
      </c>
      <c r="O149" s="29"/>
      <c r="P149" s="29"/>
      <c r="Q149" s="95">
        <v>10</v>
      </c>
      <c r="R149" s="71">
        <f>$F149*Q149</f>
        <v>620</v>
      </c>
      <c r="S149" s="72">
        <v>20</v>
      </c>
      <c r="T149" s="73">
        <f>$F149*S149</f>
        <v>1240</v>
      </c>
      <c r="U149" s="92">
        <v>25</v>
      </c>
      <c r="V149" s="75">
        <f>$F149*U149</f>
        <v>1550</v>
      </c>
      <c r="W149" s="93">
        <v>0</v>
      </c>
      <c r="X149" s="77">
        <f>$F149*W149</f>
        <v>0</v>
      </c>
      <c r="Y149" s="94">
        <v>30</v>
      </c>
      <c r="Z149" s="78">
        <f>$F149*Y149</f>
        <v>1860</v>
      </c>
      <c r="AA149" s="88"/>
      <c r="AB149" s="88"/>
    </row>
    <row r="150" spans="1:28" s="6" customFormat="1" x14ac:dyDescent="0.25">
      <c r="A150" s="234" t="s">
        <v>1569</v>
      </c>
      <c r="B150" s="84"/>
      <c r="C150" s="85" t="s">
        <v>152</v>
      </c>
      <c r="D150" s="84" t="s">
        <v>1</v>
      </c>
      <c r="E150" s="153">
        <f t="shared" si="23"/>
        <v>45</v>
      </c>
      <c r="F150" s="348">
        <f t="shared" ref="F150:F213" si="27">IF(H150="SINAPI",J150,AVERAGE(J150:P150))</f>
        <v>36.450000000000003</v>
      </c>
      <c r="G150" s="410">
        <f t="shared" si="25"/>
        <v>1640.25</v>
      </c>
      <c r="H150" s="227" t="s">
        <v>1100</v>
      </c>
      <c r="I150" s="96">
        <v>21.41</v>
      </c>
      <c r="J150" s="29"/>
      <c r="K150" s="30">
        <v>24</v>
      </c>
      <c r="L150" s="29"/>
      <c r="M150" s="30"/>
      <c r="N150" s="29"/>
      <c r="O150" s="29">
        <v>48.9</v>
      </c>
      <c r="P150" s="29"/>
      <c r="Q150" s="95">
        <v>10</v>
      </c>
      <c r="R150" s="71">
        <f>$F150*Q150</f>
        <v>364.5</v>
      </c>
      <c r="S150" s="72">
        <v>5</v>
      </c>
      <c r="T150" s="73">
        <f>$F150*S150</f>
        <v>182.25</v>
      </c>
      <c r="U150" s="92">
        <v>5</v>
      </c>
      <c r="V150" s="75">
        <f>$F150*U150</f>
        <v>182.25</v>
      </c>
      <c r="W150" s="93">
        <v>15</v>
      </c>
      <c r="X150" s="77">
        <f>$F150*W150</f>
        <v>546.75</v>
      </c>
      <c r="Y150" s="94">
        <v>10</v>
      </c>
      <c r="Z150" s="78">
        <f>$F150*Y150</f>
        <v>364.5</v>
      </c>
      <c r="AA150" s="88"/>
      <c r="AB150" s="88"/>
    </row>
    <row r="151" spans="1:28" s="6" customFormat="1" x14ac:dyDescent="0.25">
      <c r="A151" s="234" t="s">
        <v>1570</v>
      </c>
      <c r="B151" s="10"/>
      <c r="C151" s="11" t="s">
        <v>90</v>
      </c>
      <c r="D151" s="5" t="s">
        <v>1</v>
      </c>
      <c r="E151" s="153">
        <f t="shared" si="23"/>
        <v>5</v>
      </c>
      <c r="F151" s="348">
        <f t="shared" si="27"/>
        <v>118.5</v>
      </c>
      <c r="G151" s="410">
        <f t="shared" si="25"/>
        <v>592.5</v>
      </c>
      <c r="H151" s="411"/>
      <c r="I151" s="3">
        <v>93.75</v>
      </c>
      <c r="J151" s="29">
        <v>139</v>
      </c>
      <c r="K151" s="30"/>
      <c r="L151" s="29"/>
      <c r="M151" s="30"/>
      <c r="N151" s="29">
        <v>98</v>
      </c>
      <c r="O151" s="29"/>
      <c r="P151" s="29"/>
      <c r="Q151" s="27">
        <v>0</v>
      </c>
      <c r="R151" s="57">
        <f>$F151*Q151</f>
        <v>0</v>
      </c>
      <c r="S151" s="34">
        <v>2</v>
      </c>
      <c r="T151" s="60">
        <f>$F151*S151</f>
        <v>237</v>
      </c>
      <c r="U151" s="35">
        <v>3</v>
      </c>
      <c r="V151" s="61">
        <f>$F151*U151</f>
        <v>355.5</v>
      </c>
      <c r="W151" s="45">
        <v>0</v>
      </c>
      <c r="X151" s="62">
        <f>$F151*W151</f>
        <v>0</v>
      </c>
      <c r="Y151" s="36">
        <v>0</v>
      </c>
      <c r="Z151" s="63">
        <f>$F151*Y151</f>
        <v>0</v>
      </c>
    </row>
    <row r="152" spans="1:28" s="6" customFormat="1" ht="38.25" x14ac:dyDescent="0.25">
      <c r="A152" s="234" t="s">
        <v>1571</v>
      </c>
      <c r="B152" s="10"/>
      <c r="C152" s="12" t="s">
        <v>91</v>
      </c>
      <c r="D152" s="5" t="s">
        <v>92</v>
      </c>
      <c r="E152" s="153">
        <f t="shared" si="23"/>
        <v>65</v>
      </c>
      <c r="F152" s="348">
        <f t="shared" si="27"/>
        <v>10.38</v>
      </c>
      <c r="G152" s="410">
        <f t="shared" si="25"/>
        <v>674.7</v>
      </c>
      <c r="H152" s="411"/>
      <c r="I152" s="2">
        <v>12.48</v>
      </c>
      <c r="J152" s="29"/>
      <c r="K152" s="30">
        <v>12</v>
      </c>
      <c r="L152" s="29"/>
      <c r="M152" s="30"/>
      <c r="N152" s="29">
        <v>9.15</v>
      </c>
      <c r="O152" s="29">
        <v>9.99</v>
      </c>
      <c r="P152" s="29"/>
      <c r="Q152" s="27">
        <v>10</v>
      </c>
      <c r="R152" s="57">
        <f>$F152*Q152</f>
        <v>103.80000000000001</v>
      </c>
      <c r="S152" s="34">
        <v>10</v>
      </c>
      <c r="T152" s="60">
        <f>$F152*S152</f>
        <v>103.80000000000001</v>
      </c>
      <c r="U152" s="35">
        <v>10</v>
      </c>
      <c r="V152" s="61">
        <f>$F152*U152</f>
        <v>103.80000000000001</v>
      </c>
      <c r="W152" s="45">
        <v>30</v>
      </c>
      <c r="X152" s="62">
        <f>$F152*W152</f>
        <v>311.40000000000003</v>
      </c>
      <c r="Y152" s="36">
        <v>5</v>
      </c>
      <c r="Z152" s="63">
        <f>$F152*Y152</f>
        <v>51.900000000000006</v>
      </c>
    </row>
    <row r="153" spans="1:28" s="6" customFormat="1" ht="30" x14ac:dyDescent="0.25">
      <c r="A153" s="234" t="s">
        <v>1572</v>
      </c>
      <c r="B153" s="125">
        <v>2731</v>
      </c>
      <c r="C153" s="127" t="s">
        <v>944</v>
      </c>
      <c r="D153" s="125" t="s">
        <v>237</v>
      </c>
      <c r="E153" s="153">
        <f t="shared" si="23"/>
        <v>0</v>
      </c>
      <c r="F153" s="348">
        <f t="shared" si="27"/>
        <v>50.23</v>
      </c>
      <c r="G153" s="410">
        <f t="shared" si="25"/>
        <v>0</v>
      </c>
      <c r="H153" s="222" t="s">
        <v>175</v>
      </c>
      <c r="I153" s="125"/>
      <c r="J153" s="138">
        <v>50.23</v>
      </c>
      <c r="K153" s="126"/>
      <c r="L153" s="125"/>
      <c r="M153" s="126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</row>
    <row r="154" spans="1:28" s="6" customFormat="1" ht="30" x14ac:dyDescent="0.25">
      <c r="A154" s="234" t="s">
        <v>1573</v>
      </c>
      <c r="B154" s="125">
        <v>37456</v>
      </c>
      <c r="C154" s="127" t="s">
        <v>567</v>
      </c>
      <c r="D154" s="125" t="s">
        <v>237</v>
      </c>
      <c r="E154" s="153">
        <f t="shared" si="23"/>
        <v>0</v>
      </c>
      <c r="F154" s="348">
        <f t="shared" si="27"/>
        <v>1.06</v>
      </c>
      <c r="G154" s="410">
        <f t="shared" si="25"/>
        <v>0</v>
      </c>
      <c r="H154" s="222" t="s">
        <v>175</v>
      </c>
      <c r="I154" s="125"/>
      <c r="J154" s="138">
        <v>1.06</v>
      </c>
      <c r="K154" s="126"/>
      <c r="L154" s="125"/>
      <c r="M154" s="126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</row>
    <row r="155" spans="1:28" s="6" customFormat="1" ht="30" x14ac:dyDescent="0.25">
      <c r="A155" s="234" t="s">
        <v>1574</v>
      </c>
      <c r="B155" s="125">
        <v>39700</v>
      </c>
      <c r="C155" s="127" t="s">
        <v>1039</v>
      </c>
      <c r="D155" s="125" t="s">
        <v>572</v>
      </c>
      <c r="E155" s="153">
        <f t="shared" si="23"/>
        <v>0</v>
      </c>
      <c r="F155" s="348">
        <f t="shared" si="27"/>
        <v>14.55</v>
      </c>
      <c r="G155" s="410">
        <f t="shared" si="25"/>
        <v>0</v>
      </c>
      <c r="H155" s="222" t="s">
        <v>175</v>
      </c>
      <c r="I155" s="125"/>
      <c r="J155" s="138">
        <v>14.55</v>
      </c>
      <c r="K155" s="126"/>
      <c r="L155" s="125"/>
      <c r="M155" s="126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</row>
    <row r="156" spans="1:28" s="6" customFormat="1" x14ac:dyDescent="0.25">
      <c r="A156" s="234" t="s">
        <v>1575</v>
      </c>
      <c r="B156" s="84"/>
      <c r="C156" s="87" t="s">
        <v>154</v>
      </c>
      <c r="D156" s="67" t="s">
        <v>155</v>
      </c>
      <c r="E156" s="153">
        <f t="shared" si="23"/>
        <v>95</v>
      </c>
      <c r="F156" s="348">
        <f t="shared" si="27"/>
        <v>121</v>
      </c>
      <c r="G156" s="410">
        <f t="shared" si="25"/>
        <v>11495</v>
      </c>
      <c r="H156" s="227" t="s">
        <v>1100</v>
      </c>
      <c r="I156" s="83">
        <v>171.11</v>
      </c>
      <c r="J156" s="29"/>
      <c r="K156" s="30">
        <v>121</v>
      </c>
      <c r="L156" s="29"/>
      <c r="M156" s="30"/>
      <c r="N156" s="29"/>
      <c r="O156" s="29"/>
      <c r="P156" s="29"/>
      <c r="Q156" s="91">
        <v>10</v>
      </c>
      <c r="R156" s="71">
        <f>$F156*Q156</f>
        <v>1210</v>
      </c>
      <c r="S156" s="72">
        <v>10</v>
      </c>
      <c r="T156" s="73">
        <f>$F156*S156</f>
        <v>1210</v>
      </c>
      <c r="U156" s="92">
        <v>15</v>
      </c>
      <c r="V156" s="75">
        <f>$F156*U156</f>
        <v>1815</v>
      </c>
      <c r="W156" s="93">
        <v>40</v>
      </c>
      <c r="X156" s="77">
        <f>$F156*W156</f>
        <v>4840</v>
      </c>
      <c r="Y156" s="94">
        <v>20</v>
      </c>
      <c r="Z156" s="78">
        <f>$F156*Y156</f>
        <v>2420</v>
      </c>
      <c r="AA156" s="88"/>
      <c r="AB156" s="88"/>
    </row>
    <row r="157" spans="1:28" s="6" customFormat="1" x14ac:dyDescent="0.25">
      <c r="A157" s="234" t="s">
        <v>1576</v>
      </c>
      <c r="B157" s="67"/>
      <c r="C157" s="85" t="s">
        <v>156</v>
      </c>
      <c r="D157" s="67" t="s">
        <v>1</v>
      </c>
      <c r="E157" s="153">
        <f t="shared" si="23"/>
        <v>40</v>
      </c>
      <c r="F157" s="348">
        <f t="shared" si="27"/>
        <v>25.73</v>
      </c>
      <c r="G157" s="410">
        <f t="shared" si="25"/>
        <v>1029.2</v>
      </c>
      <c r="H157" s="227" t="s">
        <v>1100</v>
      </c>
      <c r="I157" s="83">
        <v>40</v>
      </c>
      <c r="J157" s="29"/>
      <c r="K157" s="30">
        <v>31</v>
      </c>
      <c r="L157" s="29"/>
      <c r="M157" s="30"/>
      <c r="N157" s="29"/>
      <c r="O157" s="29">
        <v>25.9</v>
      </c>
      <c r="P157" s="29">
        <v>20.29</v>
      </c>
      <c r="Q157" s="91">
        <v>5</v>
      </c>
      <c r="R157" s="71">
        <f>$F157*Q157</f>
        <v>128.65</v>
      </c>
      <c r="S157" s="72">
        <v>5</v>
      </c>
      <c r="T157" s="73">
        <f>$F157*S157</f>
        <v>128.65</v>
      </c>
      <c r="U157" s="92">
        <v>15</v>
      </c>
      <c r="V157" s="75">
        <f>$F157*U157</f>
        <v>385.95</v>
      </c>
      <c r="W157" s="93">
        <v>5</v>
      </c>
      <c r="X157" s="77">
        <f>$F157*W157</f>
        <v>128.65</v>
      </c>
      <c r="Y157" s="94">
        <v>10</v>
      </c>
      <c r="Z157" s="78">
        <f>$F157*Y157</f>
        <v>257.3</v>
      </c>
      <c r="AA157" s="88"/>
      <c r="AB157" s="88"/>
    </row>
    <row r="158" spans="1:28" s="16" customFormat="1" x14ac:dyDescent="0.25">
      <c r="A158" s="234" t="s">
        <v>1577</v>
      </c>
      <c r="B158" s="9"/>
      <c r="C158" s="11" t="s">
        <v>93</v>
      </c>
      <c r="D158" s="5" t="s">
        <v>1</v>
      </c>
      <c r="E158" s="153">
        <f t="shared" si="23"/>
        <v>200</v>
      </c>
      <c r="F158" s="348">
        <f t="shared" si="27"/>
        <v>10.98</v>
      </c>
      <c r="G158" s="410">
        <f t="shared" si="25"/>
        <v>2196</v>
      </c>
      <c r="H158" s="411"/>
      <c r="I158" s="3">
        <v>11.57</v>
      </c>
      <c r="J158" s="29"/>
      <c r="K158" s="30">
        <v>10.43</v>
      </c>
      <c r="L158" s="29">
        <v>12.29</v>
      </c>
      <c r="M158" s="30">
        <v>9.98</v>
      </c>
      <c r="N158" s="29"/>
      <c r="O158" s="29">
        <v>11.9</v>
      </c>
      <c r="P158" s="29">
        <v>10.3</v>
      </c>
      <c r="Q158" s="27">
        <v>20</v>
      </c>
      <c r="R158" s="57">
        <f>$F158*Q158</f>
        <v>219.60000000000002</v>
      </c>
      <c r="S158" s="34">
        <v>30</v>
      </c>
      <c r="T158" s="60">
        <f>$F158*S158</f>
        <v>329.40000000000003</v>
      </c>
      <c r="U158" s="35">
        <v>50</v>
      </c>
      <c r="V158" s="61">
        <f>$F158*U158</f>
        <v>549</v>
      </c>
      <c r="W158" s="45">
        <v>50</v>
      </c>
      <c r="X158" s="62">
        <f>$F158*W158</f>
        <v>549</v>
      </c>
      <c r="Y158" s="36">
        <v>50</v>
      </c>
      <c r="Z158" s="63">
        <f>$F158*Y158</f>
        <v>549</v>
      </c>
      <c r="AA158" s="6"/>
      <c r="AB158" s="6"/>
    </row>
    <row r="159" spans="1:28" s="6" customFormat="1" x14ac:dyDescent="0.25">
      <c r="A159" s="234" t="s">
        <v>1578</v>
      </c>
      <c r="B159" s="84"/>
      <c r="C159" s="85" t="s">
        <v>157</v>
      </c>
      <c r="D159" s="67" t="s">
        <v>83</v>
      </c>
      <c r="E159" s="153">
        <f t="shared" si="23"/>
        <v>470</v>
      </c>
      <c r="F159" s="348">
        <f t="shared" si="27"/>
        <v>18.621666666666666</v>
      </c>
      <c r="G159" s="410">
        <f t="shared" si="25"/>
        <v>8752.1833333333325</v>
      </c>
      <c r="H159" s="227" t="s">
        <v>1100</v>
      </c>
      <c r="I159" s="83">
        <v>20.399999999999999</v>
      </c>
      <c r="J159" s="29"/>
      <c r="K159" s="30">
        <v>24.14</v>
      </c>
      <c r="L159" s="29"/>
      <c r="M159" s="30"/>
      <c r="N159" s="29"/>
      <c r="O159" s="29">
        <f>36.9/4</f>
        <v>9.2249999999999996</v>
      </c>
      <c r="P159" s="29">
        <v>22.5</v>
      </c>
      <c r="Q159" s="91">
        <v>100</v>
      </c>
      <c r="R159" s="71">
        <f>$F159*Q159</f>
        <v>1862.1666666666665</v>
      </c>
      <c r="S159" s="72">
        <v>100</v>
      </c>
      <c r="T159" s="73">
        <f>$F159*S159</f>
        <v>1862.1666666666665</v>
      </c>
      <c r="U159" s="92">
        <v>20</v>
      </c>
      <c r="V159" s="75">
        <f>$F159*U159</f>
        <v>372.43333333333334</v>
      </c>
      <c r="W159" s="93">
        <v>200</v>
      </c>
      <c r="X159" s="77">
        <f>$F159*W159</f>
        <v>3724.333333333333</v>
      </c>
      <c r="Y159" s="94">
        <v>50</v>
      </c>
      <c r="Z159" s="78">
        <f>$F159*Y159</f>
        <v>931.08333333333326</v>
      </c>
      <c r="AA159" s="88"/>
      <c r="AB159" s="88"/>
    </row>
    <row r="160" spans="1:28" s="6" customFormat="1" ht="30" x14ac:dyDescent="0.25">
      <c r="A160" s="234" t="s">
        <v>1579</v>
      </c>
      <c r="B160" s="8">
        <v>4062</v>
      </c>
      <c r="C160" s="230" t="s">
        <v>711</v>
      </c>
      <c r="D160" s="222" t="s">
        <v>229</v>
      </c>
      <c r="E160" s="153">
        <f t="shared" si="23"/>
        <v>0</v>
      </c>
      <c r="F160" s="348">
        <f t="shared" si="27"/>
        <v>14.85</v>
      </c>
      <c r="G160" s="410">
        <f t="shared" si="25"/>
        <v>0</v>
      </c>
      <c r="H160" s="222" t="s">
        <v>175</v>
      </c>
      <c r="I160" s="222"/>
      <c r="J160" s="242">
        <v>14.85</v>
      </c>
      <c r="K160" s="225"/>
      <c r="L160" s="222"/>
      <c r="M160" s="225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</row>
    <row r="161" spans="1:28" s="6" customFormat="1" ht="30" x14ac:dyDescent="0.25">
      <c r="A161" s="234" t="s">
        <v>1580</v>
      </c>
      <c r="B161" s="222">
        <v>4059</v>
      </c>
      <c r="C161" s="239" t="s">
        <v>714</v>
      </c>
      <c r="D161" s="222" t="s">
        <v>237</v>
      </c>
      <c r="E161" s="153">
        <f t="shared" si="23"/>
        <v>0</v>
      </c>
      <c r="F161" s="348">
        <f t="shared" si="27"/>
        <v>18</v>
      </c>
      <c r="G161" s="410">
        <f t="shared" si="25"/>
        <v>0</v>
      </c>
      <c r="H161" s="222" t="s">
        <v>175</v>
      </c>
      <c r="I161" s="222"/>
      <c r="J161" s="242">
        <v>18</v>
      </c>
      <c r="K161" s="225"/>
      <c r="L161" s="222"/>
      <c r="M161" s="225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</row>
    <row r="162" spans="1:28" s="6" customFormat="1" ht="30" x14ac:dyDescent="0.25">
      <c r="A162" s="234" t="s">
        <v>1581</v>
      </c>
      <c r="B162" s="125">
        <v>4061</v>
      </c>
      <c r="C162" s="127" t="s">
        <v>717</v>
      </c>
      <c r="D162" s="125" t="s">
        <v>229</v>
      </c>
      <c r="E162" s="153">
        <f t="shared" si="23"/>
        <v>0</v>
      </c>
      <c r="F162" s="348">
        <f t="shared" si="27"/>
        <v>14.4</v>
      </c>
      <c r="G162" s="410">
        <f t="shared" si="25"/>
        <v>0</v>
      </c>
      <c r="H162" s="222" t="s">
        <v>175</v>
      </c>
      <c r="I162" s="125"/>
      <c r="J162" s="138">
        <v>14.4</v>
      </c>
      <c r="K162" s="126"/>
      <c r="L162" s="125"/>
      <c r="M162" s="126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</row>
    <row r="163" spans="1:28" s="6" customFormat="1" x14ac:dyDescent="0.25">
      <c r="A163" s="234" t="s">
        <v>1582</v>
      </c>
      <c r="B163" s="125">
        <v>11499</v>
      </c>
      <c r="C163" s="127" t="s">
        <v>1040</v>
      </c>
      <c r="D163" s="125" t="s">
        <v>229</v>
      </c>
      <c r="E163" s="153">
        <f t="shared" si="23"/>
        <v>0</v>
      </c>
      <c r="F163" s="348">
        <f t="shared" si="27"/>
        <v>1135.08</v>
      </c>
      <c r="G163" s="410">
        <f t="shared" si="25"/>
        <v>0</v>
      </c>
      <c r="H163" s="222" t="s">
        <v>175</v>
      </c>
      <c r="I163" s="125"/>
      <c r="J163" s="138">
        <v>1135.08</v>
      </c>
      <c r="K163" s="126"/>
      <c r="L163" s="125"/>
      <c r="M163" s="126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</row>
    <row r="164" spans="1:28" s="6" customFormat="1" ht="30" x14ac:dyDescent="0.25">
      <c r="A164" s="234" t="s">
        <v>1583</v>
      </c>
      <c r="B164" s="125">
        <v>4114</v>
      </c>
      <c r="C164" s="127" t="s">
        <v>720</v>
      </c>
      <c r="D164" s="125" t="s">
        <v>229</v>
      </c>
      <c r="E164" s="153">
        <f t="shared" si="23"/>
        <v>0</v>
      </c>
      <c r="F164" s="348">
        <f t="shared" si="27"/>
        <v>43.25</v>
      </c>
      <c r="G164" s="410">
        <f t="shared" si="25"/>
        <v>0</v>
      </c>
      <c r="H164" s="222" t="s">
        <v>175</v>
      </c>
      <c r="I164" s="125"/>
      <c r="J164" s="138">
        <v>43.25</v>
      </c>
      <c r="K164" s="126"/>
      <c r="L164" s="125"/>
      <c r="M164" s="126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</row>
    <row r="165" spans="1:28" s="6" customFormat="1" x14ac:dyDescent="0.25">
      <c r="A165" s="234" t="s">
        <v>1584</v>
      </c>
      <c r="B165" s="84"/>
      <c r="C165" s="85" t="s">
        <v>158</v>
      </c>
      <c r="D165" s="84" t="s">
        <v>1</v>
      </c>
      <c r="E165" s="153">
        <f t="shared" si="23"/>
        <v>103</v>
      </c>
      <c r="F165" s="348">
        <f t="shared" si="27"/>
        <v>13.55</v>
      </c>
      <c r="G165" s="410">
        <f t="shared" si="25"/>
        <v>1395.65</v>
      </c>
      <c r="H165" s="227" t="s">
        <v>1100</v>
      </c>
      <c r="I165" s="96">
        <v>26.5</v>
      </c>
      <c r="J165" s="29"/>
      <c r="K165" s="30">
        <v>13.2</v>
      </c>
      <c r="L165" s="29"/>
      <c r="M165" s="30"/>
      <c r="N165" s="29"/>
      <c r="O165" s="29">
        <v>13.9</v>
      </c>
      <c r="P165" s="29"/>
      <c r="Q165" s="95">
        <v>5</v>
      </c>
      <c r="R165" s="71">
        <f>$F165*Q165</f>
        <v>67.75</v>
      </c>
      <c r="S165" s="72">
        <v>10</v>
      </c>
      <c r="T165" s="73">
        <f>$F165*S165</f>
        <v>135.5</v>
      </c>
      <c r="U165" s="92">
        <v>70</v>
      </c>
      <c r="V165" s="75">
        <f>$F165*U165</f>
        <v>948.5</v>
      </c>
      <c r="W165" s="93">
        <v>8</v>
      </c>
      <c r="X165" s="77">
        <f>$F165*W165</f>
        <v>108.4</v>
      </c>
      <c r="Y165" s="94">
        <v>10</v>
      </c>
      <c r="Z165" s="78">
        <f>$F165*Y165</f>
        <v>135.5</v>
      </c>
      <c r="AA165" s="88"/>
      <c r="AB165" s="88"/>
    </row>
    <row r="166" spans="1:28" s="6" customFormat="1" x14ac:dyDescent="0.25">
      <c r="A166" s="234" t="s">
        <v>1585</v>
      </c>
      <c r="B166" s="84"/>
      <c r="C166" s="85" t="s">
        <v>159</v>
      </c>
      <c r="D166" s="84" t="s">
        <v>1</v>
      </c>
      <c r="E166" s="153">
        <f t="shared" si="23"/>
        <v>60</v>
      </c>
      <c r="F166" s="348">
        <f t="shared" si="27"/>
        <v>9.9499999999999993</v>
      </c>
      <c r="G166" s="410">
        <f t="shared" si="25"/>
        <v>597</v>
      </c>
      <c r="H166" s="227" t="s">
        <v>1100</v>
      </c>
      <c r="I166" s="96">
        <v>8.27</v>
      </c>
      <c r="J166" s="29"/>
      <c r="K166" s="30">
        <v>6</v>
      </c>
      <c r="L166" s="29"/>
      <c r="M166" s="30"/>
      <c r="N166" s="29"/>
      <c r="O166" s="29">
        <v>13.9</v>
      </c>
      <c r="P166" s="29"/>
      <c r="Q166" s="95">
        <v>5</v>
      </c>
      <c r="R166" s="71">
        <f>$F166*Q166</f>
        <v>49.75</v>
      </c>
      <c r="S166" s="72">
        <v>25</v>
      </c>
      <c r="T166" s="73">
        <f>$F166*S166</f>
        <v>248.74999999999997</v>
      </c>
      <c r="U166" s="92">
        <v>10</v>
      </c>
      <c r="V166" s="75">
        <f>$F166*U166</f>
        <v>99.5</v>
      </c>
      <c r="W166" s="93">
        <v>10</v>
      </c>
      <c r="X166" s="77">
        <f>$F166*W166</f>
        <v>99.5</v>
      </c>
      <c r="Y166" s="94">
        <v>10</v>
      </c>
      <c r="Z166" s="78">
        <f>$F166*Y166</f>
        <v>99.5</v>
      </c>
      <c r="AA166" s="88"/>
      <c r="AB166" s="88"/>
    </row>
    <row r="167" spans="1:28" ht="30" x14ac:dyDescent="0.25">
      <c r="A167" s="234" t="s">
        <v>1586</v>
      </c>
      <c r="B167" s="142">
        <v>3413</v>
      </c>
      <c r="C167" s="143" t="s">
        <v>782</v>
      </c>
      <c r="D167" s="142" t="s">
        <v>572</v>
      </c>
      <c r="E167" s="153">
        <f t="shared" si="23"/>
        <v>0</v>
      </c>
      <c r="F167" s="348">
        <f t="shared" si="27"/>
        <v>26.37</v>
      </c>
      <c r="G167" s="410">
        <f t="shared" si="25"/>
        <v>0</v>
      </c>
      <c r="H167" s="8" t="s">
        <v>175</v>
      </c>
      <c r="I167" s="142"/>
      <c r="J167" s="144">
        <v>26.37</v>
      </c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spans="1:28" ht="60" x14ac:dyDescent="0.25">
      <c r="A168" s="234" t="s">
        <v>1587</v>
      </c>
      <c r="B168" s="8">
        <v>39517</v>
      </c>
      <c r="C168" s="230" t="s">
        <v>1090</v>
      </c>
      <c r="D168" s="8" t="s">
        <v>572</v>
      </c>
      <c r="E168" s="153">
        <f t="shared" si="23"/>
        <v>0</v>
      </c>
      <c r="F168" s="348">
        <f t="shared" si="27"/>
        <v>145.9</v>
      </c>
      <c r="G168" s="410">
        <f t="shared" si="25"/>
        <v>0</v>
      </c>
      <c r="H168" s="8" t="s">
        <v>175</v>
      </c>
      <c r="I168" s="8"/>
      <c r="J168" s="58">
        <v>145.9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8" ht="60" x14ac:dyDescent="0.25">
      <c r="A169" s="234" t="s">
        <v>1588</v>
      </c>
      <c r="B169" s="8">
        <v>39518</v>
      </c>
      <c r="C169" s="230" t="s">
        <v>1091</v>
      </c>
      <c r="D169" s="8" t="s">
        <v>572</v>
      </c>
      <c r="E169" s="153">
        <f t="shared" si="23"/>
        <v>0</v>
      </c>
      <c r="F169" s="348">
        <f t="shared" si="27"/>
        <v>172.97</v>
      </c>
      <c r="G169" s="410">
        <f t="shared" si="25"/>
        <v>0</v>
      </c>
      <c r="H169" s="8" t="s">
        <v>175</v>
      </c>
      <c r="I169" s="8"/>
      <c r="J169" s="58">
        <v>172.97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8" x14ac:dyDescent="0.25">
      <c r="A170" s="234" t="s">
        <v>1589</v>
      </c>
      <c r="B170" s="118"/>
      <c r="C170" s="13" t="s">
        <v>94</v>
      </c>
      <c r="D170" s="241" t="s">
        <v>1</v>
      </c>
      <c r="E170" s="153">
        <f t="shared" si="23"/>
        <v>195</v>
      </c>
      <c r="F170" s="348">
        <f t="shared" si="27"/>
        <v>53</v>
      </c>
      <c r="G170" s="410">
        <f t="shared" si="25"/>
        <v>10335</v>
      </c>
      <c r="H170" s="152"/>
      <c r="I170" s="244">
        <v>43.1</v>
      </c>
      <c r="J170" s="31"/>
      <c r="K170" s="31">
        <v>50</v>
      </c>
      <c r="L170" s="31"/>
      <c r="M170" s="31"/>
      <c r="N170" s="31"/>
      <c r="O170" s="31"/>
      <c r="P170" s="31">
        <v>56</v>
      </c>
      <c r="Q170" s="27">
        <v>20</v>
      </c>
      <c r="R170" s="57">
        <f t="shared" ref="R170:R176" si="28">$F170*Q170</f>
        <v>1060</v>
      </c>
      <c r="S170" s="34">
        <v>50</v>
      </c>
      <c r="T170" s="60">
        <f t="shared" ref="T170:T176" si="29">$F170*S170</f>
        <v>2650</v>
      </c>
      <c r="U170" s="35">
        <v>25</v>
      </c>
      <c r="V170" s="61">
        <f t="shared" ref="V170:V176" si="30">$F170*U170</f>
        <v>1325</v>
      </c>
      <c r="W170" s="45">
        <v>100</v>
      </c>
      <c r="X170" s="62">
        <f t="shared" ref="X170:X176" si="31">$F170*W170</f>
        <v>5300</v>
      </c>
      <c r="Y170" s="36">
        <v>0</v>
      </c>
      <c r="Z170" s="63">
        <f t="shared" ref="Z170:Z176" si="32">$F170*Y170</f>
        <v>0</v>
      </c>
    </row>
    <row r="171" spans="1:28" x14ac:dyDescent="0.25">
      <c r="A171" s="234" t="s">
        <v>1590</v>
      </c>
      <c r="B171" s="118"/>
      <c r="C171" s="236" t="s">
        <v>95</v>
      </c>
      <c r="D171" s="241" t="s">
        <v>1</v>
      </c>
      <c r="E171" s="153">
        <f t="shared" si="23"/>
        <v>170</v>
      </c>
      <c r="F171" s="348">
        <f t="shared" si="27"/>
        <v>9.1933333333333325E-2</v>
      </c>
      <c r="G171" s="410">
        <f t="shared" si="25"/>
        <v>15.628666666666668</v>
      </c>
      <c r="H171" s="152"/>
      <c r="I171" s="243">
        <v>0.08</v>
      </c>
      <c r="J171" s="31"/>
      <c r="K171" s="31">
        <v>0.18</v>
      </c>
      <c r="L171" s="31">
        <f>27.9/500</f>
        <v>5.5799999999999995E-2</v>
      </c>
      <c r="M171" s="31"/>
      <c r="N171" s="31">
        <v>0.04</v>
      </c>
      <c r="O171" s="31"/>
      <c r="P171" s="31"/>
      <c r="Q171" s="27">
        <v>20</v>
      </c>
      <c r="R171" s="57">
        <f t="shared" si="28"/>
        <v>1.8386666666666664</v>
      </c>
      <c r="S171" s="34">
        <v>0</v>
      </c>
      <c r="T171" s="60">
        <f t="shared" si="29"/>
        <v>0</v>
      </c>
      <c r="U171" s="35">
        <v>50</v>
      </c>
      <c r="V171" s="61">
        <f t="shared" si="30"/>
        <v>4.5966666666666667</v>
      </c>
      <c r="W171" s="45">
        <v>50</v>
      </c>
      <c r="X171" s="62">
        <f t="shared" si="31"/>
        <v>4.5966666666666667</v>
      </c>
      <c r="Y171" s="36">
        <v>50</v>
      </c>
      <c r="Z171" s="63">
        <f t="shared" si="32"/>
        <v>4.5966666666666667</v>
      </c>
    </row>
    <row r="172" spans="1:28" x14ac:dyDescent="0.25">
      <c r="A172" s="234" t="s">
        <v>1591</v>
      </c>
      <c r="B172" s="118"/>
      <c r="C172" s="236" t="s">
        <v>96</v>
      </c>
      <c r="D172" s="241" t="s">
        <v>1</v>
      </c>
      <c r="E172" s="153">
        <f t="shared" si="23"/>
        <v>170</v>
      </c>
      <c r="F172" s="348">
        <f t="shared" si="27"/>
        <v>0.18311111111111111</v>
      </c>
      <c r="G172" s="410">
        <f t="shared" si="25"/>
        <v>31.128888888888888</v>
      </c>
      <c r="H172" s="152"/>
      <c r="I172" s="243">
        <v>0.09</v>
      </c>
      <c r="J172" s="31"/>
      <c r="K172" s="31">
        <v>0.22</v>
      </c>
      <c r="L172" s="31">
        <f>32.9/150</f>
        <v>0.21933333333333332</v>
      </c>
      <c r="M172" s="31"/>
      <c r="N172" s="31">
        <f>55/500</f>
        <v>0.11</v>
      </c>
      <c r="O172" s="31"/>
      <c r="P172" s="31"/>
      <c r="Q172" s="27">
        <v>20</v>
      </c>
      <c r="R172" s="57">
        <f t="shared" si="28"/>
        <v>3.6622222222222223</v>
      </c>
      <c r="S172" s="34">
        <v>0</v>
      </c>
      <c r="T172" s="60">
        <f t="shared" si="29"/>
        <v>0</v>
      </c>
      <c r="U172" s="35">
        <v>50</v>
      </c>
      <c r="V172" s="61">
        <f t="shared" si="30"/>
        <v>9.155555555555555</v>
      </c>
      <c r="W172" s="45">
        <v>50</v>
      </c>
      <c r="X172" s="62">
        <f t="shared" si="31"/>
        <v>9.155555555555555</v>
      </c>
      <c r="Y172" s="36">
        <v>50</v>
      </c>
      <c r="Z172" s="63">
        <f t="shared" si="32"/>
        <v>9.155555555555555</v>
      </c>
    </row>
    <row r="173" spans="1:28" x14ac:dyDescent="0.25">
      <c r="A173" s="234" t="s">
        <v>1592</v>
      </c>
      <c r="B173" s="118"/>
      <c r="C173" s="13" t="s">
        <v>97</v>
      </c>
      <c r="D173" s="241" t="s">
        <v>1</v>
      </c>
      <c r="E173" s="153">
        <f t="shared" si="23"/>
        <v>170</v>
      </c>
      <c r="F173" s="348">
        <f t="shared" si="27"/>
        <v>8.9480000000000004E-2</v>
      </c>
      <c r="G173" s="410">
        <f t="shared" si="25"/>
        <v>15.211600000000001</v>
      </c>
      <c r="H173" s="152"/>
      <c r="I173" s="243">
        <v>0.05</v>
      </c>
      <c r="J173" s="31"/>
      <c r="K173" s="31">
        <v>0.22</v>
      </c>
      <c r="L173" s="31">
        <f>28.9/1000</f>
        <v>2.8899999999999999E-2</v>
      </c>
      <c r="M173" s="31"/>
      <c r="N173" s="31">
        <f>9.77/500</f>
        <v>1.9539999999999998E-2</v>
      </c>
      <c r="O173" s="31"/>
      <c r="P173" s="31"/>
      <c r="Q173" s="27">
        <v>20</v>
      </c>
      <c r="R173" s="57">
        <f t="shared" si="28"/>
        <v>1.7896000000000001</v>
      </c>
      <c r="S173" s="34">
        <v>0</v>
      </c>
      <c r="T173" s="60">
        <f t="shared" si="29"/>
        <v>0</v>
      </c>
      <c r="U173" s="35">
        <v>50</v>
      </c>
      <c r="V173" s="61">
        <f t="shared" si="30"/>
        <v>4.4740000000000002</v>
      </c>
      <c r="W173" s="45">
        <v>50</v>
      </c>
      <c r="X173" s="62">
        <f t="shared" si="31"/>
        <v>4.4740000000000002</v>
      </c>
      <c r="Y173" s="36">
        <v>50</v>
      </c>
      <c r="Z173" s="63">
        <f t="shared" si="32"/>
        <v>4.4740000000000002</v>
      </c>
    </row>
    <row r="174" spans="1:28" x14ac:dyDescent="0.25">
      <c r="A174" s="234" t="s">
        <v>1593</v>
      </c>
      <c r="B174" s="234"/>
      <c r="C174" s="13" t="s">
        <v>98</v>
      </c>
      <c r="D174" s="241" t="s">
        <v>1</v>
      </c>
      <c r="E174" s="153">
        <f t="shared" si="23"/>
        <v>145</v>
      </c>
      <c r="F174" s="348">
        <f t="shared" si="27"/>
        <v>0.10033333333333333</v>
      </c>
      <c r="G174" s="410">
        <f t="shared" si="25"/>
        <v>14.548333333333332</v>
      </c>
      <c r="H174" s="152"/>
      <c r="I174" s="243">
        <v>0.12</v>
      </c>
      <c r="J174" s="31"/>
      <c r="K174" s="31">
        <v>0.22</v>
      </c>
      <c r="L174" s="31">
        <f>24.9/500</f>
        <v>4.9799999999999997E-2</v>
      </c>
      <c r="M174" s="31"/>
      <c r="N174" s="31">
        <f>15.6/500</f>
        <v>3.1199999999999999E-2</v>
      </c>
      <c r="O174" s="31"/>
      <c r="P174" s="31"/>
      <c r="Q174" s="27">
        <v>20</v>
      </c>
      <c r="R174" s="57">
        <f t="shared" si="28"/>
        <v>2.0066666666666668</v>
      </c>
      <c r="S174" s="34">
        <v>0</v>
      </c>
      <c r="T174" s="60">
        <f t="shared" si="29"/>
        <v>0</v>
      </c>
      <c r="U174" s="35">
        <v>50</v>
      </c>
      <c r="V174" s="61">
        <f t="shared" si="30"/>
        <v>5.0166666666666666</v>
      </c>
      <c r="W174" s="45">
        <v>50</v>
      </c>
      <c r="X174" s="62">
        <f t="shared" si="31"/>
        <v>5.0166666666666666</v>
      </c>
      <c r="Y174" s="36">
        <v>25</v>
      </c>
      <c r="Z174" s="63">
        <f t="shared" si="32"/>
        <v>2.5083333333333333</v>
      </c>
    </row>
    <row r="175" spans="1:28" x14ac:dyDescent="0.25">
      <c r="A175" s="234" t="s">
        <v>1594</v>
      </c>
      <c r="B175" s="118"/>
      <c r="C175" s="13" t="s">
        <v>99</v>
      </c>
      <c r="D175" s="241" t="s">
        <v>1</v>
      </c>
      <c r="E175" s="153">
        <f t="shared" si="23"/>
        <v>145</v>
      </c>
      <c r="F175" s="348">
        <f t="shared" si="27"/>
        <v>0.16147333333333333</v>
      </c>
      <c r="G175" s="410">
        <f t="shared" si="25"/>
        <v>23.413633333333333</v>
      </c>
      <c r="H175" s="152"/>
      <c r="I175" s="243">
        <v>0.24</v>
      </c>
      <c r="J175" s="31"/>
      <c r="K175" s="31">
        <v>0.32</v>
      </c>
      <c r="L175" s="31">
        <f>41.9/500</f>
        <v>8.3799999999999999E-2</v>
      </c>
      <c r="M175" s="31"/>
      <c r="N175" s="31">
        <f>40.31/500</f>
        <v>8.0620000000000011E-2</v>
      </c>
      <c r="O175" s="31"/>
      <c r="P175" s="31"/>
      <c r="Q175" s="27">
        <v>20</v>
      </c>
      <c r="R175" s="57">
        <f t="shared" si="28"/>
        <v>3.2294666666666667</v>
      </c>
      <c r="S175" s="34">
        <v>0</v>
      </c>
      <c r="T175" s="60">
        <f t="shared" si="29"/>
        <v>0</v>
      </c>
      <c r="U175" s="35">
        <v>50</v>
      </c>
      <c r="V175" s="61">
        <f t="shared" si="30"/>
        <v>8.0736666666666661</v>
      </c>
      <c r="W175" s="45">
        <v>50</v>
      </c>
      <c r="X175" s="62">
        <f t="shared" si="31"/>
        <v>8.0736666666666661</v>
      </c>
      <c r="Y175" s="36">
        <v>25</v>
      </c>
      <c r="Z175" s="63">
        <f t="shared" si="32"/>
        <v>4.0368333333333331</v>
      </c>
    </row>
    <row r="176" spans="1:28" x14ac:dyDescent="0.25">
      <c r="A176" s="234" t="s">
        <v>1595</v>
      </c>
      <c r="B176" s="118"/>
      <c r="C176" s="236" t="s">
        <v>100</v>
      </c>
      <c r="D176" s="241" t="s">
        <v>1</v>
      </c>
      <c r="E176" s="153">
        <f t="shared" si="23"/>
        <v>145</v>
      </c>
      <c r="F176" s="348">
        <f t="shared" si="27"/>
        <v>28.4</v>
      </c>
      <c r="G176" s="410">
        <f t="shared" si="25"/>
        <v>4118</v>
      </c>
      <c r="H176" s="152"/>
      <c r="I176" s="243">
        <v>14.3</v>
      </c>
      <c r="J176" s="31"/>
      <c r="K176" s="31">
        <v>28.4</v>
      </c>
      <c r="L176" s="31"/>
      <c r="M176" s="31"/>
      <c r="N176" s="31"/>
      <c r="O176" s="31"/>
      <c r="P176" s="31"/>
      <c r="Q176" s="27">
        <v>20</v>
      </c>
      <c r="R176" s="57">
        <f t="shared" si="28"/>
        <v>568</v>
      </c>
      <c r="S176" s="34">
        <v>0</v>
      </c>
      <c r="T176" s="60">
        <f t="shared" si="29"/>
        <v>0</v>
      </c>
      <c r="U176" s="35">
        <v>50</v>
      </c>
      <c r="V176" s="61">
        <f t="shared" si="30"/>
        <v>1420</v>
      </c>
      <c r="W176" s="45">
        <v>50</v>
      </c>
      <c r="X176" s="62">
        <f t="shared" si="31"/>
        <v>1420</v>
      </c>
      <c r="Y176" s="36">
        <v>25</v>
      </c>
      <c r="Z176" s="63">
        <f t="shared" si="32"/>
        <v>710</v>
      </c>
    </row>
    <row r="177" spans="1:26" ht="45" x14ac:dyDescent="0.25">
      <c r="A177" s="234" t="s">
        <v>1596</v>
      </c>
      <c r="B177" s="142">
        <v>4379</v>
      </c>
      <c r="C177" s="143" t="s">
        <v>821</v>
      </c>
      <c r="D177" s="142" t="s">
        <v>229</v>
      </c>
      <c r="E177" s="153">
        <f t="shared" si="23"/>
        <v>0</v>
      </c>
      <c r="F177" s="348">
        <f t="shared" si="27"/>
        <v>0.02</v>
      </c>
      <c r="G177" s="410">
        <f t="shared" si="25"/>
        <v>0</v>
      </c>
      <c r="H177" s="8" t="s">
        <v>175</v>
      </c>
      <c r="I177" s="142"/>
      <c r="J177" s="144">
        <v>0.02</v>
      </c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spans="1:26" ht="45" x14ac:dyDescent="0.25">
      <c r="A178" s="234" t="s">
        <v>1597</v>
      </c>
      <c r="B178">
        <v>4377</v>
      </c>
      <c r="C178" s="121" t="s">
        <v>822</v>
      </c>
      <c r="D178" s="142" t="s">
        <v>229</v>
      </c>
      <c r="E178" s="153">
        <f t="shared" si="23"/>
        <v>0</v>
      </c>
      <c r="F178" s="348">
        <f t="shared" si="27"/>
        <v>0.1</v>
      </c>
      <c r="G178" s="410">
        <f t="shared" si="25"/>
        <v>0</v>
      </c>
      <c r="H178" s="8" t="s">
        <v>175</v>
      </c>
      <c r="I178" s="142"/>
      <c r="J178" s="144">
        <v>0.1</v>
      </c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spans="1:26" ht="45" x14ac:dyDescent="0.25">
      <c r="A179" s="234" t="s">
        <v>1598</v>
      </c>
      <c r="B179" s="142">
        <v>4356</v>
      </c>
      <c r="C179" s="143" t="s">
        <v>823</v>
      </c>
      <c r="D179" s="142" t="s">
        <v>229</v>
      </c>
      <c r="E179" s="153">
        <f t="shared" si="23"/>
        <v>0</v>
      </c>
      <c r="F179" s="348">
        <f t="shared" si="27"/>
        <v>0.14000000000000001</v>
      </c>
      <c r="G179" s="410">
        <f t="shared" si="25"/>
        <v>0</v>
      </c>
      <c r="H179" s="8" t="s">
        <v>175</v>
      </c>
      <c r="I179" s="142"/>
      <c r="J179" s="144">
        <v>0.14000000000000001</v>
      </c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spans="1:26" ht="45" x14ac:dyDescent="0.25">
      <c r="A180" s="234" t="s">
        <v>1599</v>
      </c>
      <c r="B180" s="142">
        <v>13246</v>
      </c>
      <c r="C180" s="143" t="s">
        <v>824</v>
      </c>
      <c r="D180" s="142" t="s">
        <v>229</v>
      </c>
      <c r="E180" s="153">
        <f t="shared" si="23"/>
        <v>0</v>
      </c>
      <c r="F180" s="348">
        <f t="shared" si="27"/>
        <v>0.24</v>
      </c>
      <c r="G180" s="410">
        <f t="shared" si="25"/>
        <v>0</v>
      </c>
      <c r="H180" s="8" t="s">
        <v>175</v>
      </c>
      <c r="I180" s="142"/>
      <c r="J180" s="144">
        <v>0.24</v>
      </c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spans="1:26" ht="45" x14ac:dyDescent="0.25">
      <c r="A181" s="234" t="s">
        <v>1600</v>
      </c>
      <c r="B181" s="142">
        <v>4346</v>
      </c>
      <c r="C181" s="143" t="s">
        <v>825</v>
      </c>
      <c r="D181" s="142" t="s">
        <v>229</v>
      </c>
      <c r="E181" s="153">
        <f t="shared" si="23"/>
        <v>0</v>
      </c>
      <c r="F181" s="348">
        <f t="shared" si="27"/>
        <v>5.53</v>
      </c>
      <c r="G181" s="410">
        <f t="shared" si="25"/>
        <v>0</v>
      </c>
      <c r="H181" s="8" t="s">
        <v>175</v>
      </c>
      <c r="I181" s="142"/>
      <c r="J181" s="144">
        <v>5.53</v>
      </c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spans="1:26" ht="45" x14ac:dyDescent="0.25">
      <c r="A182" s="234" t="s">
        <v>1601</v>
      </c>
      <c r="B182" s="142">
        <v>11955</v>
      </c>
      <c r="C182" s="143" t="s">
        <v>826</v>
      </c>
      <c r="D182" s="142" t="s">
        <v>229</v>
      </c>
      <c r="E182" s="153">
        <f t="shared" si="23"/>
        <v>0</v>
      </c>
      <c r="F182" s="348">
        <f t="shared" si="27"/>
        <v>2.42</v>
      </c>
      <c r="G182" s="410">
        <f t="shared" si="25"/>
        <v>0</v>
      </c>
      <c r="H182" s="8" t="s">
        <v>175</v>
      </c>
      <c r="I182" s="142"/>
      <c r="J182" s="144">
        <v>2.42</v>
      </c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spans="1:26" ht="45" x14ac:dyDescent="0.25">
      <c r="A183" s="234" t="s">
        <v>1602</v>
      </c>
      <c r="B183" s="142">
        <v>11960</v>
      </c>
      <c r="C183" s="143" t="s">
        <v>827</v>
      </c>
      <c r="D183" s="142" t="s">
        <v>229</v>
      </c>
      <c r="E183" s="153">
        <f t="shared" si="23"/>
        <v>0</v>
      </c>
      <c r="F183" s="348">
        <f t="shared" si="27"/>
        <v>0.08</v>
      </c>
      <c r="G183" s="410">
        <f t="shared" si="25"/>
        <v>0</v>
      </c>
      <c r="H183" s="8" t="s">
        <v>175</v>
      </c>
      <c r="I183" s="142"/>
      <c r="J183" s="144">
        <v>0.08</v>
      </c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spans="1:26" ht="45" x14ac:dyDescent="0.25">
      <c r="A184" s="234" t="s">
        <v>1603</v>
      </c>
      <c r="B184" s="142">
        <v>4333</v>
      </c>
      <c r="C184" s="143" t="s">
        <v>828</v>
      </c>
      <c r="D184" s="142" t="s">
        <v>229</v>
      </c>
      <c r="E184" s="153">
        <f t="shared" si="23"/>
        <v>0</v>
      </c>
      <c r="F184" s="348">
        <f t="shared" si="27"/>
        <v>0.14000000000000001</v>
      </c>
      <c r="G184" s="410">
        <f t="shared" si="25"/>
        <v>0</v>
      </c>
      <c r="H184" s="8" t="s">
        <v>175</v>
      </c>
      <c r="I184" s="142"/>
      <c r="J184" s="144">
        <v>0.14000000000000001</v>
      </c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spans="1:26" ht="45" x14ac:dyDescent="0.25">
      <c r="A185" s="234" t="s">
        <v>1604</v>
      </c>
      <c r="B185" s="142">
        <v>4358</v>
      </c>
      <c r="C185" s="143" t="s">
        <v>829</v>
      </c>
      <c r="D185" s="142" t="s">
        <v>229</v>
      </c>
      <c r="E185" s="153">
        <f t="shared" si="23"/>
        <v>0</v>
      </c>
      <c r="F185" s="348">
        <f t="shared" si="27"/>
        <v>1.1000000000000001</v>
      </c>
      <c r="G185" s="410">
        <f t="shared" si="25"/>
        <v>0</v>
      </c>
      <c r="H185" s="8" t="s">
        <v>175</v>
      </c>
      <c r="I185" s="142"/>
      <c r="J185" s="144">
        <v>1.1000000000000001</v>
      </c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spans="1:26" ht="30" x14ac:dyDescent="0.25">
      <c r="A186" s="234" t="s">
        <v>1605</v>
      </c>
      <c r="B186" s="142">
        <v>39435</v>
      </c>
      <c r="C186" s="143" t="s">
        <v>830</v>
      </c>
      <c r="D186" s="142" t="s">
        <v>229</v>
      </c>
      <c r="E186" s="153">
        <f t="shared" si="23"/>
        <v>0</v>
      </c>
      <c r="F186" s="348">
        <f t="shared" si="27"/>
        <v>0.05</v>
      </c>
      <c r="G186" s="410">
        <f t="shared" si="25"/>
        <v>0</v>
      </c>
      <c r="H186" s="8" t="s">
        <v>175</v>
      </c>
      <c r="I186" s="142"/>
      <c r="J186" s="144">
        <v>0.05</v>
      </c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spans="1:26" ht="30" x14ac:dyDescent="0.25">
      <c r="A187" s="234" t="s">
        <v>1606</v>
      </c>
      <c r="B187" s="142">
        <v>39436</v>
      </c>
      <c r="C187" s="143" t="s">
        <v>831</v>
      </c>
      <c r="D187" s="142" t="s">
        <v>229</v>
      </c>
      <c r="E187" s="153">
        <f t="shared" si="23"/>
        <v>0</v>
      </c>
      <c r="F187" s="348">
        <f t="shared" si="27"/>
        <v>0.09</v>
      </c>
      <c r="G187" s="410">
        <f t="shared" si="25"/>
        <v>0</v>
      </c>
      <c r="H187" s="8" t="s">
        <v>175</v>
      </c>
      <c r="I187" s="142"/>
      <c r="J187" s="144">
        <v>0.09</v>
      </c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spans="1:26" ht="30" x14ac:dyDescent="0.25">
      <c r="A188" s="234" t="s">
        <v>1607</v>
      </c>
      <c r="B188" s="142">
        <v>39437</v>
      </c>
      <c r="C188" s="143" t="s">
        <v>832</v>
      </c>
      <c r="D188" s="142" t="s">
        <v>229</v>
      </c>
      <c r="E188" s="153">
        <f t="shared" si="23"/>
        <v>0</v>
      </c>
      <c r="F188" s="348">
        <f t="shared" si="27"/>
        <v>0.12</v>
      </c>
      <c r="G188" s="410">
        <f t="shared" si="25"/>
        <v>0</v>
      </c>
      <c r="H188" s="8" t="s">
        <v>175</v>
      </c>
      <c r="I188" s="142"/>
      <c r="J188" s="144">
        <v>0.12</v>
      </c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spans="1:26" ht="30" x14ac:dyDescent="0.25">
      <c r="A189" s="234" t="s">
        <v>1608</v>
      </c>
      <c r="B189" s="142">
        <v>39439</v>
      </c>
      <c r="C189" s="143" t="s">
        <v>833</v>
      </c>
      <c r="D189" s="142" t="s">
        <v>229</v>
      </c>
      <c r="E189" s="153">
        <f t="shared" si="23"/>
        <v>0</v>
      </c>
      <c r="F189" s="348">
        <f t="shared" si="27"/>
        <v>0.08</v>
      </c>
      <c r="G189" s="410">
        <f t="shared" si="25"/>
        <v>0</v>
      </c>
      <c r="H189" s="8" t="s">
        <v>175</v>
      </c>
      <c r="I189" s="142"/>
      <c r="J189" s="144">
        <v>0.08</v>
      </c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spans="1:26" ht="30" x14ac:dyDescent="0.25">
      <c r="A190" s="234" t="s">
        <v>1609</v>
      </c>
      <c r="B190" s="142">
        <v>39440</v>
      </c>
      <c r="C190" s="143" t="s">
        <v>834</v>
      </c>
      <c r="D190" s="142" t="s">
        <v>229</v>
      </c>
      <c r="E190" s="153">
        <f t="shared" si="23"/>
        <v>0</v>
      </c>
      <c r="F190" s="348">
        <f t="shared" si="27"/>
        <v>0.11</v>
      </c>
      <c r="G190" s="410">
        <f t="shared" si="25"/>
        <v>0</v>
      </c>
      <c r="H190" s="8" t="s">
        <v>175</v>
      </c>
      <c r="I190" s="142"/>
      <c r="J190" s="144">
        <v>0.11</v>
      </c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spans="1:26" ht="30" x14ac:dyDescent="0.25">
      <c r="A191" s="234" t="s">
        <v>1610</v>
      </c>
      <c r="B191" s="142">
        <v>39441</v>
      </c>
      <c r="C191" s="143" t="s">
        <v>835</v>
      </c>
      <c r="D191" s="142" t="s">
        <v>229</v>
      </c>
      <c r="E191" s="153">
        <f t="shared" si="23"/>
        <v>0</v>
      </c>
      <c r="F191" s="348">
        <f t="shared" si="27"/>
        <v>0.14000000000000001</v>
      </c>
      <c r="G191" s="410">
        <f t="shared" si="25"/>
        <v>0</v>
      </c>
      <c r="H191" s="8" t="s">
        <v>175</v>
      </c>
      <c r="I191" s="142"/>
      <c r="J191" s="144">
        <v>0.14000000000000001</v>
      </c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spans="1:26" ht="45" x14ac:dyDescent="0.25">
      <c r="A192" s="234" t="s">
        <v>1611</v>
      </c>
      <c r="B192">
        <v>39442</v>
      </c>
      <c r="C192" s="143" t="s">
        <v>836</v>
      </c>
      <c r="D192" s="142" t="s">
        <v>229</v>
      </c>
      <c r="E192" s="153">
        <f t="shared" si="23"/>
        <v>0</v>
      </c>
      <c r="F192" s="348">
        <f t="shared" si="27"/>
        <v>0.1</v>
      </c>
      <c r="G192" s="410">
        <f t="shared" si="25"/>
        <v>0</v>
      </c>
      <c r="H192" s="8" t="s">
        <v>175</v>
      </c>
      <c r="I192" s="142"/>
      <c r="J192" s="144">
        <v>0.1</v>
      </c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spans="1:26" ht="45" x14ac:dyDescent="0.25">
      <c r="A193" s="234" t="s">
        <v>1612</v>
      </c>
      <c r="B193" s="142">
        <v>4329</v>
      </c>
      <c r="C193" s="143" t="s">
        <v>837</v>
      </c>
      <c r="D193" s="142" t="s">
        <v>229</v>
      </c>
      <c r="E193" s="153">
        <f t="shared" si="23"/>
        <v>0</v>
      </c>
      <c r="F193" s="348">
        <f t="shared" si="27"/>
        <v>1.18</v>
      </c>
      <c r="G193" s="410">
        <f t="shared" si="25"/>
        <v>0</v>
      </c>
      <c r="H193" s="8" t="s">
        <v>175</v>
      </c>
      <c r="I193" s="142"/>
      <c r="J193" s="144">
        <v>1.18</v>
      </c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spans="1:26" ht="45" x14ac:dyDescent="0.25">
      <c r="A194" s="234" t="s">
        <v>1613</v>
      </c>
      <c r="B194" s="142">
        <v>436</v>
      </c>
      <c r="C194" s="143" t="s">
        <v>840</v>
      </c>
      <c r="D194" s="142" t="s">
        <v>229</v>
      </c>
      <c r="E194" s="153">
        <f t="shared" si="23"/>
        <v>0</v>
      </c>
      <c r="F194" s="348">
        <f t="shared" si="27"/>
        <v>5.72</v>
      </c>
      <c r="G194" s="410">
        <f t="shared" si="25"/>
        <v>0</v>
      </c>
      <c r="H194" s="8" t="s">
        <v>175</v>
      </c>
      <c r="I194" s="142"/>
      <c r="J194" s="144">
        <v>5.72</v>
      </c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spans="1:26" ht="45" x14ac:dyDescent="0.25">
      <c r="A195" s="234" t="s">
        <v>1614</v>
      </c>
      <c r="B195" s="142">
        <v>442</v>
      </c>
      <c r="C195" s="143" t="s">
        <v>841</v>
      </c>
      <c r="D195" s="142" t="s">
        <v>229</v>
      </c>
      <c r="E195" s="153">
        <f t="shared" si="23"/>
        <v>0</v>
      </c>
      <c r="F195" s="348">
        <f t="shared" si="27"/>
        <v>3.38</v>
      </c>
      <c r="G195" s="410">
        <f t="shared" si="25"/>
        <v>0</v>
      </c>
      <c r="H195" s="8" t="s">
        <v>175</v>
      </c>
      <c r="I195" s="142"/>
      <c r="J195" s="144">
        <v>3.38</v>
      </c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spans="1:26" ht="45" x14ac:dyDescent="0.25">
      <c r="A196" s="234" t="s">
        <v>1615</v>
      </c>
      <c r="B196" s="142">
        <v>4383</v>
      </c>
      <c r="C196" s="143" t="s">
        <v>838</v>
      </c>
      <c r="D196" s="142" t="s">
        <v>229</v>
      </c>
      <c r="E196" s="153">
        <f t="shared" si="23"/>
        <v>0</v>
      </c>
      <c r="F196" s="348">
        <f t="shared" si="27"/>
        <v>10.67</v>
      </c>
      <c r="G196" s="410">
        <f t="shared" si="25"/>
        <v>0</v>
      </c>
      <c r="H196" s="8" t="s">
        <v>175</v>
      </c>
      <c r="I196" s="142"/>
      <c r="J196" s="144">
        <v>10.67</v>
      </c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spans="1:26" ht="45" x14ac:dyDescent="0.25">
      <c r="A197" s="234" t="s">
        <v>1616</v>
      </c>
      <c r="B197" s="142">
        <v>4344</v>
      </c>
      <c r="C197" s="143" t="s">
        <v>839</v>
      </c>
      <c r="D197" s="142" t="s">
        <v>229</v>
      </c>
      <c r="E197" s="153">
        <f t="shared" ref="E197:E260" si="33">Q197+S197+U197+W197+Y197</f>
        <v>0</v>
      </c>
      <c r="F197" s="348">
        <f t="shared" si="27"/>
        <v>11.18</v>
      </c>
      <c r="G197" s="410">
        <f t="shared" ref="G197:G260" si="34">R197+T197+V197+X197+Z197</f>
        <v>0</v>
      </c>
      <c r="H197" s="8" t="s">
        <v>175</v>
      </c>
      <c r="I197" s="142"/>
      <c r="J197" s="144">
        <v>11.18</v>
      </c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spans="1:26" ht="30" x14ac:dyDescent="0.25">
      <c r="A198" s="234" t="s">
        <v>1617</v>
      </c>
      <c r="B198" s="142">
        <v>4335</v>
      </c>
      <c r="C198" s="143" t="s">
        <v>843</v>
      </c>
      <c r="D198" s="142" t="s">
        <v>229</v>
      </c>
      <c r="E198" s="153">
        <f t="shared" si="33"/>
        <v>0</v>
      </c>
      <c r="F198" s="348">
        <f t="shared" si="27"/>
        <v>7.51</v>
      </c>
      <c r="G198" s="410">
        <f t="shared" si="34"/>
        <v>0</v>
      </c>
      <c r="H198" s="8" t="s">
        <v>175</v>
      </c>
      <c r="I198" s="142"/>
      <c r="J198" s="144">
        <v>7.51</v>
      </c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spans="1:26" ht="30" x14ac:dyDescent="0.25">
      <c r="A199" s="234" t="s">
        <v>1618</v>
      </c>
      <c r="B199" s="142">
        <v>11953</v>
      </c>
      <c r="C199" s="143" t="s">
        <v>842</v>
      </c>
      <c r="D199" s="142" t="s">
        <v>229</v>
      </c>
      <c r="E199" s="153">
        <f t="shared" si="33"/>
        <v>0</v>
      </c>
      <c r="F199" s="348">
        <f t="shared" si="27"/>
        <v>1.77</v>
      </c>
      <c r="G199" s="410">
        <f t="shared" si="34"/>
        <v>0</v>
      </c>
      <c r="H199" s="8" t="s">
        <v>175</v>
      </c>
      <c r="I199" s="142"/>
      <c r="J199" s="144">
        <v>1.77</v>
      </c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spans="1:26" ht="45" x14ac:dyDescent="0.25">
      <c r="A200" s="234" t="s">
        <v>1619</v>
      </c>
      <c r="B200" s="142">
        <v>430</v>
      </c>
      <c r="C200" s="143" t="s">
        <v>844</v>
      </c>
      <c r="D200" s="142" t="s">
        <v>229</v>
      </c>
      <c r="E200" s="153">
        <f t="shared" si="33"/>
        <v>0</v>
      </c>
      <c r="F200" s="348">
        <f t="shared" si="27"/>
        <v>5.12</v>
      </c>
      <c r="G200" s="410">
        <f t="shared" si="34"/>
        <v>0</v>
      </c>
      <c r="H200" s="8" t="s">
        <v>175</v>
      </c>
      <c r="I200" s="142"/>
      <c r="J200" s="144">
        <v>5.12</v>
      </c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spans="1:26" ht="45" x14ac:dyDescent="0.25">
      <c r="A201" s="234" t="s">
        <v>1620</v>
      </c>
      <c r="B201" s="142">
        <v>441</v>
      </c>
      <c r="C201" s="143" t="s">
        <v>845</v>
      </c>
      <c r="D201" s="142" t="s">
        <v>229</v>
      </c>
      <c r="E201" s="153">
        <f t="shared" si="33"/>
        <v>0</v>
      </c>
      <c r="F201" s="348">
        <f t="shared" si="27"/>
        <v>5.64</v>
      </c>
      <c r="G201" s="410">
        <f t="shared" si="34"/>
        <v>0</v>
      </c>
      <c r="H201" s="8" t="s">
        <v>175</v>
      </c>
      <c r="I201" s="142"/>
      <c r="J201" s="144">
        <v>5.64</v>
      </c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spans="1:26" ht="45" x14ac:dyDescent="0.25">
      <c r="A202" s="234" t="s">
        <v>1621</v>
      </c>
      <c r="B202" s="142">
        <v>431</v>
      </c>
      <c r="C202" s="143" t="s">
        <v>846</v>
      </c>
      <c r="D202" s="142" t="s">
        <v>229</v>
      </c>
      <c r="E202" s="153">
        <f t="shared" si="33"/>
        <v>0</v>
      </c>
      <c r="F202" s="348">
        <f t="shared" si="27"/>
        <v>6.81</v>
      </c>
      <c r="G202" s="410">
        <f t="shared" si="34"/>
        <v>0</v>
      </c>
      <c r="H202" s="8" t="s">
        <v>175</v>
      </c>
      <c r="I202" s="142"/>
      <c r="J202" s="144">
        <v>6.81</v>
      </c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spans="1:26" ht="45" x14ac:dyDescent="0.25">
      <c r="A203" s="234" t="s">
        <v>1622</v>
      </c>
      <c r="B203">
        <v>432</v>
      </c>
      <c r="C203" s="121" t="s">
        <v>847</v>
      </c>
      <c r="D203" t="s">
        <v>229</v>
      </c>
      <c r="E203" s="153">
        <f t="shared" si="33"/>
        <v>0</v>
      </c>
      <c r="F203" s="348">
        <f t="shared" si="27"/>
        <v>7.51</v>
      </c>
      <c r="G203" s="410">
        <f t="shared" si="34"/>
        <v>0</v>
      </c>
      <c r="H203" s="6" t="s">
        <v>175</v>
      </c>
      <c r="I203"/>
      <c r="J203" s="122">
        <v>7.51</v>
      </c>
      <c r="K203"/>
      <c r="L203"/>
      <c r="M203"/>
      <c r="N203"/>
      <c r="O203"/>
      <c r="P203"/>
      <c r="R203"/>
      <c r="T203"/>
      <c r="V203"/>
      <c r="X203"/>
      <c r="Z203"/>
    </row>
    <row r="204" spans="1:26" s="6" customFormat="1" ht="30" x14ac:dyDescent="0.25">
      <c r="A204" s="234" t="s">
        <v>1623</v>
      </c>
      <c r="B204" s="6">
        <v>429</v>
      </c>
      <c r="C204" s="16" t="s">
        <v>848</v>
      </c>
      <c r="D204" s="6" t="s">
        <v>229</v>
      </c>
      <c r="E204" s="409">
        <f t="shared" si="33"/>
        <v>0</v>
      </c>
      <c r="F204" s="401">
        <f t="shared" si="27"/>
        <v>10.119999999999999</v>
      </c>
      <c r="G204" s="309">
        <f t="shared" si="34"/>
        <v>0</v>
      </c>
      <c r="H204" s="6" t="s">
        <v>175</v>
      </c>
      <c r="J204" s="59">
        <v>10.119999999999999</v>
      </c>
    </row>
    <row r="205" spans="1:26" s="6" customFormat="1" ht="45" x14ac:dyDescent="0.25">
      <c r="A205" s="234" t="s">
        <v>1624</v>
      </c>
      <c r="B205" s="8">
        <v>439</v>
      </c>
      <c r="C205" s="230" t="s">
        <v>849</v>
      </c>
      <c r="D205" s="8" t="s">
        <v>229</v>
      </c>
      <c r="E205" s="409">
        <f t="shared" si="33"/>
        <v>0</v>
      </c>
      <c r="F205" s="401">
        <f t="shared" si="27"/>
        <v>8.6300000000000008</v>
      </c>
      <c r="G205" s="309">
        <f t="shared" si="34"/>
        <v>0</v>
      </c>
      <c r="H205" s="8" t="s">
        <v>175</v>
      </c>
      <c r="I205" s="8"/>
      <c r="J205" s="58">
        <v>8.6300000000000008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s="6" customFormat="1" ht="45" x14ac:dyDescent="0.25">
      <c r="A206" s="234" t="s">
        <v>1625</v>
      </c>
      <c r="B206" s="6">
        <v>433</v>
      </c>
      <c r="C206" s="16" t="s">
        <v>850</v>
      </c>
      <c r="D206" s="6" t="s">
        <v>229</v>
      </c>
      <c r="E206" s="409">
        <f t="shared" si="33"/>
        <v>0</v>
      </c>
      <c r="F206" s="401">
        <f t="shared" si="27"/>
        <v>10.07</v>
      </c>
      <c r="G206" s="309">
        <f t="shared" si="34"/>
        <v>0</v>
      </c>
      <c r="H206" s="6" t="s">
        <v>175</v>
      </c>
      <c r="J206" s="59">
        <v>10.07</v>
      </c>
    </row>
    <row r="207" spans="1:26" s="6" customFormat="1" ht="30" x14ac:dyDescent="0.25">
      <c r="A207" s="234" t="s">
        <v>1626</v>
      </c>
      <c r="B207" s="6">
        <v>437</v>
      </c>
      <c r="C207" s="16" t="s">
        <v>851</v>
      </c>
      <c r="D207" s="6" t="s">
        <v>229</v>
      </c>
      <c r="E207" s="409">
        <f t="shared" si="33"/>
        <v>0</v>
      </c>
      <c r="F207" s="401">
        <f t="shared" si="27"/>
        <v>13.38</v>
      </c>
      <c r="G207" s="309">
        <f t="shared" si="34"/>
        <v>0</v>
      </c>
      <c r="H207" s="6" t="s">
        <v>175</v>
      </c>
      <c r="J207" s="59">
        <v>13.38</v>
      </c>
    </row>
    <row r="208" spans="1:26" s="6" customFormat="1" ht="45" x14ac:dyDescent="0.25">
      <c r="A208" s="234" t="s">
        <v>1627</v>
      </c>
      <c r="B208" s="6">
        <v>11790</v>
      </c>
      <c r="C208" s="16" t="s">
        <v>852</v>
      </c>
      <c r="D208" s="6" t="s">
        <v>229</v>
      </c>
      <c r="E208" s="409">
        <f t="shared" si="33"/>
        <v>0</v>
      </c>
      <c r="F208" s="401">
        <f t="shared" si="27"/>
        <v>15.18</v>
      </c>
      <c r="G208" s="309">
        <f t="shared" si="34"/>
        <v>0</v>
      </c>
      <c r="H208" s="6" t="s">
        <v>175</v>
      </c>
      <c r="J208" s="59">
        <v>15.18</v>
      </c>
    </row>
    <row r="209" spans="1:26" s="6" customFormat="1" ht="45" x14ac:dyDescent="0.25">
      <c r="A209" s="234" t="s">
        <v>1628</v>
      </c>
      <c r="B209" s="6">
        <v>428</v>
      </c>
      <c r="C209" s="16" t="s">
        <v>853</v>
      </c>
      <c r="D209" s="6" t="s">
        <v>229</v>
      </c>
      <c r="E209" s="409">
        <f t="shared" si="33"/>
        <v>0</v>
      </c>
      <c r="F209" s="401">
        <f t="shared" si="27"/>
        <v>16.510000000000002</v>
      </c>
      <c r="G209" s="309">
        <f t="shared" si="34"/>
        <v>0</v>
      </c>
      <c r="H209" s="6" t="s">
        <v>175</v>
      </c>
      <c r="J209" s="59">
        <v>16.510000000000002</v>
      </c>
    </row>
    <row r="210" spans="1:26" s="6" customFormat="1" ht="45" x14ac:dyDescent="0.25">
      <c r="A210" s="234" t="s">
        <v>1629</v>
      </c>
      <c r="B210" s="6">
        <v>4351</v>
      </c>
      <c r="C210" s="16" t="s">
        <v>855</v>
      </c>
      <c r="D210" s="6" t="s">
        <v>229</v>
      </c>
      <c r="E210" s="409">
        <f t="shared" si="33"/>
        <v>0</v>
      </c>
      <c r="F210" s="401">
        <f t="shared" si="27"/>
        <v>9.09</v>
      </c>
      <c r="G210" s="309">
        <f t="shared" si="34"/>
        <v>0</v>
      </c>
      <c r="H210" s="6" t="s">
        <v>175</v>
      </c>
      <c r="J210" s="59">
        <v>9.09</v>
      </c>
    </row>
    <row r="211" spans="1:26" s="6" customFormat="1" ht="45" x14ac:dyDescent="0.25">
      <c r="A211" s="234" t="s">
        <v>1630</v>
      </c>
      <c r="B211" s="6">
        <v>4384</v>
      </c>
      <c r="C211" s="16" t="s">
        <v>854</v>
      </c>
      <c r="D211" s="6" t="s">
        <v>229</v>
      </c>
      <c r="E211" s="409">
        <f t="shared" si="33"/>
        <v>0</v>
      </c>
      <c r="F211" s="401">
        <f t="shared" si="27"/>
        <v>12.26</v>
      </c>
      <c r="G211" s="309">
        <f t="shared" si="34"/>
        <v>0</v>
      </c>
      <c r="H211" s="6" t="s">
        <v>175</v>
      </c>
      <c r="J211" s="59">
        <v>12.26</v>
      </c>
    </row>
    <row r="212" spans="1:26" s="6" customFormat="1" x14ac:dyDescent="0.25">
      <c r="A212" s="234" t="s">
        <v>1631</v>
      </c>
      <c r="B212" s="118"/>
      <c r="C212" s="236" t="s">
        <v>101</v>
      </c>
      <c r="D212" s="241" t="s">
        <v>1</v>
      </c>
      <c r="E212" s="409">
        <f t="shared" si="33"/>
        <v>370</v>
      </c>
      <c r="F212" s="401">
        <f t="shared" si="27"/>
        <v>0.83966666666666667</v>
      </c>
      <c r="G212" s="309">
        <f t="shared" si="34"/>
        <v>310.67666666666668</v>
      </c>
      <c r="H212" s="152"/>
      <c r="I212" s="243">
        <v>0.84</v>
      </c>
      <c r="J212" s="31"/>
      <c r="K212" s="31">
        <v>0.72</v>
      </c>
      <c r="L212" s="31">
        <f>10.29/10</f>
        <v>1.0289999999999999</v>
      </c>
      <c r="M212" s="31"/>
      <c r="N212" s="31"/>
      <c r="O212" s="31"/>
      <c r="P212" s="31">
        <v>0.77</v>
      </c>
      <c r="Q212" s="412">
        <v>20</v>
      </c>
      <c r="R212" s="152">
        <f>$F212*Q212</f>
        <v>16.793333333333333</v>
      </c>
      <c r="S212" s="412">
        <v>200</v>
      </c>
      <c r="T212" s="152">
        <f>$F212*S212</f>
        <v>167.93333333333334</v>
      </c>
      <c r="U212" s="241">
        <v>50</v>
      </c>
      <c r="V212" s="152">
        <f>$F212*U212</f>
        <v>41.983333333333334</v>
      </c>
      <c r="W212" s="412">
        <v>50</v>
      </c>
      <c r="X212" s="152">
        <f>$F212*W212</f>
        <v>41.983333333333334</v>
      </c>
      <c r="Y212" s="412">
        <v>50</v>
      </c>
      <c r="Z212" s="152">
        <f>$F212*Y212</f>
        <v>41.983333333333334</v>
      </c>
    </row>
    <row r="213" spans="1:26" s="6" customFormat="1" ht="30" x14ac:dyDescent="0.25">
      <c r="A213" s="234" t="s">
        <v>1632</v>
      </c>
      <c r="B213" s="6">
        <v>11054</v>
      </c>
      <c r="C213" s="16" t="s">
        <v>856</v>
      </c>
      <c r="D213" s="6" t="s">
        <v>229</v>
      </c>
      <c r="E213" s="409">
        <f t="shared" si="33"/>
        <v>0</v>
      </c>
      <c r="F213" s="401">
        <f t="shared" si="27"/>
        <v>0.03</v>
      </c>
      <c r="G213" s="309">
        <f t="shared" si="34"/>
        <v>0</v>
      </c>
      <c r="H213" s="6" t="s">
        <v>175</v>
      </c>
      <c r="J213" s="59">
        <v>0.03</v>
      </c>
    </row>
    <row r="214" spans="1:26" s="6" customFormat="1" ht="30" x14ac:dyDescent="0.25">
      <c r="A214" s="234" t="s">
        <v>1633</v>
      </c>
      <c r="B214" s="6">
        <v>11055</v>
      </c>
      <c r="C214" s="16" t="s">
        <v>857</v>
      </c>
      <c r="D214" s="6" t="s">
        <v>229</v>
      </c>
      <c r="E214" s="409">
        <f t="shared" si="33"/>
        <v>0</v>
      </c>
      <c r="F214" s="401">
        <f t="shared" ref="F214:F277" si="35">IF(H214="SINAPI",J214,AVERAGE(J214:P214))</f>
        <v>0.04</v>
      </c>
      <c r="G214" s="309">
        <f t="shared" si="34"/>
        <v>0</v>
      </c>
      <c r="H214" s="6" t="s">
        <v>175</v>
      </c>
      <c r="J214" s="59">
        <v>0.04</v>
      </c>
    </row>
    <row r="215" spans="1:26" s="6" customFormat="1" ht="30" x14ac:dyDescent="0.25">
      <c r="A215" s="234" t="s">
        <v>1634</v>
      </c>
      <c r="B215" s="6">
        <v>11056</v>
      </c>
      <c r="C215" s="16" t="s">
        <v>858</v>
      </c>
      <c r="D215" s="6" t="s">
        <v>229</v>
      </c>
      <c r="E215" s="409">
        <f t="shared" si="33"/>
        <v>0</v>
      </c>
      <c r="F215" s="401">
        <f t="shared" si="35"/>
        <v>0.05</v>
      </c>
      <c r="G215" s="309">
        <f t="shared" si="34"/>
        <v>0</v>
      </c>
      <c r="H215" s="6" t="s">
        <v>175</v>
      </c>
      <c r="J215" s="59">
        <v>0.05</v>
      </c>
    </row>
    <row r="216" spans="1:26" s="6" customFormat="1" ht="30" x14ac:dyDescent="0.25">
      <c r="A216" s="234" t="s">
        <v>1635</v>
      </c>
      <c r="B216" s="6">
        <v>11057</v>
      </c>
      <c r="C216" s="16" t="s">
        <v>859</v>
      </c>
      <c r="D216" s="6" t="s">
        <v>229</v>
      </c>
      <c r="E216" s="409">
        <f t="shared" si="33"/>
        <v>0</v>
      </c>
      <c r="F216" s="401">
        <f t="shared" si="35"/>
        <v>0.1</v>
      </c>
      <c r="G216" s="309">
        <f t="shared" si="34"/>
        <v>0</v>
      </c>
      <c r="H216" s="6" t="s">
        <v>175</v>
      </c>
      <c r="J216" s="59">
        <v>0.1</v>
      </c>
    </row>
    <row r="217" spans="1:26" s="6" customFormat="1" ht="30" x14ac:dyDescent="0.25">
      <c r="A217" s="234" t="s">
        <v>1636</v>
      </c>
      <c r="B217" s="6">
        <v>11059</v>
      </c>
      <c r="C217" s="16" t="s">
        <v>860</v>
      </c>
      <c r="D217" s="6" t="s">
        <v>229</v>
      </c>
      <c r="E217" s="409">
        <f t="shared" si="33"/>
        <v>0</v>
      </c>
      <c r="F217" s="401">
        <f t="shared" si="35"/>
        <v>0.2</v>
      </c>
      <c r="G217" s="309">
        <f t="shared" si="34"/>
        <v>0</v>
      </c>
      <c r="H217" s="6" t="s">
        <v>175</v>
      </c>
      <c r="J217" s="59">
        <v>0.2</v>
      </c>
    </row>
    <row r="218" spans="1:26" s="6" customFormat="1" ht="30" x14ac:dyDescent="0.25">
      <c r="A218" s="234" t="s">
        <v>1637</v>
      </c>
      <c r="B218" s="6">
        <v>11058</v>
      </c>
      <c r="C218" s="16" t="s">
        <v>861</v>
      </c>
      <c r="D218" s="6" t="s">
        <v>229</v>
      </c>
      <c r="E218" s="409">
        <f t="shared" si="33"/>
        <v>0</v>
      </c>
      <c r="F218" s="401">
        <f t="shared" si="35"/>
        <v>0.26</v>
      </c>
      <c r="G218" s="309">
        <f t="shared" si="34"/>
        <v>0</v>
      </c>
      <c r="H218" s="6" t="s">
        <v>175</v>
      </c>
      <c r="J218" s="59">
        <v>0.26</v>
      </c>
    </row>
    <row r="219" spans="1:26" s="6" customFormat="1" ht="45" x14ac:dyDescent="0.25">
      <c r="A219" s="234" t="s">
        <v>1638</v>
      </c>
      <c r="B219" s="6">
        <v>4320</v>
      </c>
      <c r="C219" s="16" t="s">
        <v>871</v>
      </c>
      <c r="D219" s="6" t="s">
        <v>229</v>
      </c>
      <c r="E219" s="409">
        <f t="shared" si="33"/>
        <v>0</v>
      </c>
      <c r="F219" s="401">
        <f t="shared" si="35"/>
        <v>2.14</v>
      </c>
      <c r="G219" s="309">
        <f t="shared" si="34"/>
        <v>0</v>
      </c>
      <c r="H219" s="6" t="s">
        <v>175</v>
      </c>
      <c r="J219" s="59">
        <v>2.14</v>
      </c>
    </row>
    <row r="220" spans="1:26" s="6" customFormat="1" ht="45" x14ac:dyDescent="0.25">
      <c r="A220" s="234" t="s">
        <v>1639</v>
      </c>
      <c r="B220" s="6">
        <v>4318</v>
      </c>
      <c r="C220" s="16" t="s">
        <v>872</v>
      </c>
      <c r="D220" s="6" t="s">
        <v>229</v>
      </c>
      <c r="E220" s="409">
        <f t="shared" si="33"/>
        <v>0</v>
      </c>
      <c r="F220" s="401">
        <f t="shared" si="35"/>
        <v>1.04</v>
      </c>
      <c r="G220" s="309">
        <f t="shared" si="34"/>
        <v>0</v>
      </c>
      <c r="H220" s="6" t="s">
        <v>175</v>
      </c>
      <c r="J220" s="59">
        <v>1.04</v>
      </c>
    </row>
    <row r="221" spans="1:26" s="6" customFormat="1" ht="30" x14ac:dyDescent="0.25">
      <c r="A221" s="234" t="s">
        <v>1640</v>
      </c>
      <c r="B221" s="6">
        <v>4380</v>
      </c>
      <c r="C221" s="16" t="s">
        <v>862</v>
      </c>
      <c r="D221" s="6" t="s">
        <v>229</v>
      </c>
      <c r="E221" s="409">
        <f t="shared" si="33"/>
        <v>0</v>
      </c>
      <c r="F221" s="401">
        <f t="shared" si="35"/>
        <v>0.9</v>
      </c>
      <c r="G221" s="309">
        <f t="shared" si="34"/>
        <v>0</v>
      </c>
      <c r="H221" s="6" t="s">
        <v>175</v>
      </c>
      <c r="J221" s="59">
        <v>0.9</v>
      </c>
    </row>
    <row r="222" spans="1:26" ht="45" x14ac:dyDescent="0.25">
      <c r="A222" s="234" t="s">
        <v>1641</v>
      </c>
      <c r="B222">
        <v>4299</v>
      </c>
      <c r="C222" s="121" t="s">
        <v>863</v>
      </c>
      <c r="D222" t="s">
        <v>229</v>
      </c>
      <c r="E222" s="153">
        <f t="shared" si="33"/>
        <v>0</v>
      </c>
      <c r="F222" s="348">
        <f t="shared" si="35"/>
        <v>0.85</v>
      </c>
      <c r="G222" s="410">
        <f t="shared" si="34"/>
        <v>0</v>
      </c>
      <c r="H222" s="6" t="s">
        <v>175</v>
      </c>
      <c r="I222"/>
      <c r="J222" s="122">
        <v>0.85</v>
      </c>
      <c r="K222"/>
      <c r="L222"/>
      <c r="M222"/>
      <c r="N222"/>
      <c r="O222"/>
      <c r="P222"/>
      <c r="R222"/>
      <c r="T222"/>
      <c r="V222"/>
      <c r="X222"/>
      <c r="Z222"/>
    </row>
    <row r="223" spans="1:26" ht="45" x14ac:dyDescent="0.25">
      <c r="A223" s="234" t="s">
        <v>1642</v>
      </c>
      <c r="B223">
        <v>4299</v>
      </c>
      <c r="C223" s="121" t="s">
        <v>863</v>
      </c>
      <c r="D223" t="s">
        <v>229</v>
      </c>
      <c r="E223" s="153">
        <f t="shared" si="33"/>
        <v>0</v>
      </c>
      <c r="F223" s="348">
        <f t="shared" si="35"/>
        <v>0.85</v>
      </c>
      <c r="G223" s="410">
        <f t="shared" si="34"/>
        <v>0</v>
      </c>
      <c r="H223" s="6" t="s">
        <v>175</v>
      </c>
      <c r="I223"/>
      <c r="J223" s="122">
        <v>0.85</v>
      </c>
      <c r="K223"/>
      <c r="L223"/>
      <c r="M223"/>
      <c r="N223"/>
      <c r="O223"/>
      <c r="P223"/>
      <c r="R223"/>
      <c r="T223"/>
      <c r="V223"/>
      <c r="X223"/>
      <c r="Z223"/>
    </row>
    <row r="224" spans="1:26" ht="45" x14ac:dyDescent="0.25">
      <c r="A224" s="234" t="s">
        <v>1643</v>
      </c>
      <c r="B224">
        <v>4304</v>
      </c>
      <c r="C224" s="121" t="s">
        <v>864</v>
      </c>
      <c r="D224" t="s">
        <v>229</v>
      </c>
      <c r="E224" s="153">
        <f t="shared" si="33"/>
        <v>0</v>
      </c>
      <c r="F224" s="348">
        <f t="shared" si="35"/>
        <v>1.1599999999999999</v>
      </c>
      <c r="G224" s="410">
        <f t="shared" si="34"/>
        <v>0</v>
      </c>
      <c r="H224" s="6" t="s">
        <v>175</v>
      </c>
      <c r="I224"/>
      <c r="J224" s="122">
        <v>1.1599999999999999</v>
      </c>
      <c r="K224"/>
      <c r="L224"/>
      <c r="M224"/>
      <c r="N224"/>
      <c r="O224"/>
      <c r="P224"/>
      <c r="R224"/>
      <c r="T224"/>
      <c r="V224"/>
      <c r="X224"/>
      <c r="Z224"/>
    </row>
    <row r="225" spans="1:26" ht="45" x14ac:dyDescent="0.25">
      <c r="A225" s="234" t="s">
        <v>1644</v>
      </c>
      <c r="B225">
        <v>4305</v>
      </c>
      <c r="C225" s="121" t="s">
        <v>865</v>
      </c>
      <c r="D225" t="s">
        <v>229</v>
      </c>
      <c r="E225" s="153">
        <f t="shared" si="33"/>
        <v>0</v>
      </c>
      <c r="F225" s="348">
        <f t="shared" si="35"/>
        <v>1.34</v>
      </c>
      <c r="G225" s="410">
        <f t="shared" si="34"/>
        <v>0</v>
      </c>
      <c r="H225" s="6" t="s">
        <v>175</v>
      </c>
      <c r="I225"/>
      <c r="J225" s="122">
        <v>1.34</v>
      </c>
      <c r="K225"/>
      <c r="L225"/>
      <c r="M225"/>
      <c r="N225"/>
      <c r="O225"/>
      <c r="P225"/>
      <c r="R225"/>
      <c r="T225"/>
      <c r="V225"/>
      <c r="X225"/>
      <c r="Z225"/>
    </row>
    <row r="226" spans="1:26" ht="45" x14ac:dyDescent="0.25">
      <c r="A226" s="234" t="s">
        <v>1645</v>
      </c>
      <c r="B226">
        <v>4306</v>
      </c>
      <c r="C226" s="121" t="s">
        <v>866</v>
      </c>
      <c r="D226" t="s">
        <v>229</v>
      </c>
      <c r="E226" s="153">
        <f t="shared" si="33"/>
        <v>0</v>
      </c>
      <c r="F226" s="348">
        <f t="shared" si="35"/>
        <v>1.56</v>
      </c>
      <c r="G226" s="410">
        <f t="shared" si="34"/>
        <v>0</v>
      </c>
      <c r="H226" s="6" t="s">
        <v>175</v>
      </c>
      <c r="I226"/>
      <c r="J226" s="122">
        <v>1.56</v>
      </c>
      <c r="K226"/>
      <c r="L226"/>
      <c r="M226"/>
      <c r="N226"/>
      <c r="O226"/>
      <c r="P226"/>
      <c r="R226"/>
      <c r="T226"/>
      <c r="V226"/>
      <c r="X226"/>
      <c r="Z226"/>
    </row>
    <row r="227" spans="1:26" ht="45" x14ac:dyDescent="0.25">
      <c r="A227" s="234" t="s">
        <v>1646</v>
      </c>
      <c r="B227">
        <v>4308</v>
      </c>
      <c r="C227" s="121" t="s">
        <v>867</v>
      </c>
      <c r="D227" t="s">
        <v>229</v>
      </c>
      <c r="E227" s="153">
        <f t="shared" si="33"/>
        <v>0</v>
      </c>
      <c r="F227" s="348">
        <f t="shared" si="35"/>
        <v>3.23</v>
      </c>
      <c r="G227" s="410">
        <f t="shared" si="34"/>
        <v>0</v>
      </c>
      <c r="H227" s="6" t="s">
        <v>175</v>
      </c>
      <c r="I227"/>
      <c r="J227" s="122">
        <v>3.23</v>
      </c>
      <c r="K227"/>
      <c r="L227"/>
      <c r="M227"/>
      <c r="N227"/>
      <c r="O227"/>
      <c r="P227"/>
      <c r="R227"/>
      <c r="T227"/>
      <c r="V227"/>
      <c r="X227"/>
      <c r="Z227"/>
    </row>
    <row r="228" spans="1:26" ht="45" x14ac:dyDescent="0.25">
      <c r="A228" s="234" t="s">
        <v>1647</v>
      </c>
      <c r="B228">
        <v>4302</v>
      </c>
      <c r="C228" s="121" t="s">
        <v>868</v>
      </c>
      <c r="D228" t="s">
        <v>229</v>
      </c>
      <c r="E228" s="153">
        <f t="shared" si="33"/>
        <v>0</v>
      </c>
      <c r="F228" s="348">
        <f t="shared" si="35"/>
        <v>2.42</v>
      </c>
      <c r="G228" s="410">
        <f t="shared" si="34"/>
        <v>0</v>
      </c>
      <c r="H228" s="6" t="s">
        <v>175</v>
      </c>
      <c r="I228"/>
      <c r="J228" s="122">
        <v>2.42</v>
      </c>
      <c r="K228"/>
      <c r="L228"/>
      <c r="M228"/>
      <c r="N228"/>
      <c r="O228"/>
      <c r="P228"/>
      <c r="R228"/>
      <c r="T228"/>
      <c r="V228"/>
      <c r="X228"/>
      <c r="Z228"/>
    </row>
    <row r="229" spans="1:26" ht="45" x14ac:dyDescent="0.25">
      <c r="A229" s="234" t="s">
        <v>1648</v>
      </c>
      <c r="B229">
        <v>4300</v>
      </c>
      <c r="C229" s="121" t="s">
        <v>869</v>
      </c>
      <c r="D229" t="s">
        <v>229</v>
      </c>
      <c r="E229" s="153">
        <f t="shared" si="33"/>
        <v>0</v>
      </c>
      <c r="F229" s="348">
        <f t="shared" si="35"/>
        <v>0.57999999999999996</v>
      </c>
      <c r="G229" s="410">
        <f t="shared" si="34"/>
        <v>0</v>
      </c>
      <c r="H229" s="6" t="s">
        <v>175</v>
      </c>
      <c r="I229"/>
      <c r="J229" s="122">
        <v>0.57999999999999996</v>
      </c>
      <c r="K229"/>
      <c r="L229"/>
      <c r="M229"/>
      <c r="N229"/>
      <c r="O229"/>
      <c r="P229"/>
      <c r="R229"/>
      <c r="T229"/>
      <c r="V229"/>
      <c r="X229"/>
      <c r="Z229"/>
    </row>
    <row r="230" spans="1:26" ht="45" x14ac:dyDescent="0.25">
      <c r="A230" s="234" t="s">
        <v>1649</v>
      </c>
      <c r="B230">
        <v>4301</v>
      </c>
      <c r="C230" s="121" t="s">
        <v>870</v>
      </c>
      <c r="D230" t="s">
        <v>229</v>
      </c>
      <c r="E230" s="153">
        <f t="shared" si="33"/>
        <v>0</v>
      </c>
      <c r="F230" s="348">
        <f t="shared" si="35"/>
        <v>0.7</v>
      </c>
      <c r="G230" s="410">
        <f t="shared" si="34"/>
        <v>0</v>
      </c>
      <c r="H230" s="6" t="s">
        <v>175</v>
      </c>
      <c r="I230"/>
      <c r="J230" s="122">
        <v>0.7</v>
      </c>
      <c r="K230"/>
      <c r="L230"/>
      <c r="M230"/>
      <c r="N230"/>
      <c r="O230"/>
      <c r="P230"/>
      <c r="R230"/>
      <c r="T230"/>
      <c r="V230"/>
      <c r="X230"/>
      <c r="Z230"/>
    </row>
    <row r="231" spans="1:26" ht="30" x14ac:dyDescent="0.25">
      <c r="A231" s="234" t="s">
        <v>1650</v>
      </c>
      <c r="B231">
        <v>40547</v>
      </c>
      <c r="C231" s="121" t="s">
        <v>873</v>
      </c>
      <c r="D231" t="s">
        <v>874</v>
      </c>
      <c r="E231" s="153">
        <f t="shared" si="33"/>
        <v>0</v>
      </c>
      <c r="F231" s="348">
        <f t="shared" si="35"/>
        <v>14.89</v>
      </c>
      <c r="G231" s="410">
        <f t="shared" si="34"/>
        <v>0</v>
      </c>
      <c r="H231" s="6" t="s">
        <v>175</v>
      </c>
      <c r="I231"/>
      <c r="J231" s="122">
        <v>14.89</v>
      </c>
      <c r="K231"/>
      <c r="L231"/>
      <c r="M231"/>
      <c r="N231"/>
      <c r="O231"/>
      <c r="P231"/>
      <c r="R231"/>
      <c r="T231"/>
      <c r="V231"/>
      <c r="X231"/>
      <c r="Z231"/>
    </row>
    <row r="232" spans="1:26" ht="30" x14ac:dyDescent="0.25">
      <c r="A232" s="234" t="s">
        <v>1651</v>
      </c>
      <c r="B232">
        <v>11962</v>
      </c>
      <c r="C232" s="121" t="s">
        <v>875</v>
      </c>
      <c r="D232" t="s">
        <v>229</v>
      </c>
      <c r="E232" s="153">
        <f t="shared" si="33"/>
        <v>0</v>
      </c>
      <c r="F232" s="348">
        <f t="shared" si="35"/>
        <v>0.12</v>
      </c>
      <c r="G232" s="410">
        <f t="shared" si="34"/>
        <v>0</v>
      </c>
      <c r="H232" s="6" t="s">
        <v>175</v>
      </c>
      <c r="I232"/>
      <c r="J232" s="122">
        <v>0.12</v>
      </c>
      <c r="K232"/>
      <c r="L232"/>
      <c r="M232"/>
      <c r="N232"/>
      <c r="O232"/>
      <c r="P232"/>
      <c r="R232"/>
      <c r="T232"/>
      <c r="V232"/>
      <c r="X232"/>
      <c r="Z232"/>
    </row>
    <row r="233" spans="1:26" ht="30" x14ac:dyDescent="0.25">
      <c r="A233" s="234" t="s">
        <v>1652</v>
      </c>
      <c r="B233">
        <v>4332</v>
      </c>
      <c r="C233" s="121" t="s">
        <v>876</v>
      </c>
      <c r="D233" t="s">
        <v>229</v>
      </c>
      <c r="E233" s="153">
        <f t="shared" si="33"/>
        <v>0</v>
      </c>
      <c r="F233" s="348">
        <f t="shared" si="35"/>
        <v>0.59</v>
      </c>
      <c r="G233" s="410">
        <f t="shared" si="34"/>
        <v>0</v>
      </c>
      <c r="H233" s="6" t="s">
        <v>175</v>
      </c>
      <c r="I233"/>
      <c r="J233" s="122">
        <v>0.59</v>
      </c>
      <c r="K233"/>
      <c r="L233"/>
      <c r="M233"/>
      <c r="N233"/>
      <c r="O233"/>
      <c r="P233"/>
      <c r="R233"/>
      <c r="T233"/>
      <c r="V233"/>
      <c r="X233"/>
      <c r="Z233"/>
    </row>
    <row r="234" spans="1:26" ht="30" x14ac:dyDescent="0.25">
      <c r="A234" s="234" t="s">
        <v>1653</v>
      </c>
      <c r="B234">
        <v>4331</v>
      </c>
      <c r="C234" s="121" t="s">
        <v>877</v>
      </c>
      <c r="D234" t="s">
        <v>229</v>
      </c>
      <c r="E234" s="153">
        <f t="shared" si="33"/>
        <v>0</v>
      </c>
      <c r="F234" s="348">
        <f t="shared" si="35"/>
        <v>2.23</v>
      </c>
      <c r="G234" s="410">
        <f t="shared" si="34"/>
        <v>0</v>
      </c>
      <c r="H234" s="6" t="s">
        <v>175</v>
      </c>
      <c r="I234"/>
      <c r="J234" s="122">
        <v>2.23</v>
      </c>
      <c r="K234"/>
      <c r="L234"/>
      <c r="M234"/>
      <c r="N234"/>
      <c r="O234"/>
      <c r="P234"/>
      <c r="R234"/>
      <c r="T234"/>
      <c r="V234"/>
      <c r="X234"/>
      <c r="Z234"/>
    </row>
    <row r="235" spans="1:26" ht="45" x14ac:dyDescent="0.25">
      <c r="A235" s="234" t="s">
        <v>1654</v>
      </c>
      <c r="B235">
        <v>4336</v>
      </c>
      <c r="C235" s="121" t="s">
        <v>878</v>
      </c>
      <c r="D235" t="s">
        <v>229</v>
      </c>
      <c r="E235" s="153">
        <f t="shared" si="33"/>
        <v>0</v>
      </c>
      <c r="F235" s="348">
        <f t="shared" si="35"/>
        <v>2.86</v>
      </c>
      <c r="G235" s="410">
        <f t="shared" si="34"/>
        <v>0</v>
      </c>
      <c r="H235" s="6" t="s">
        <v>175</v>
      </c>
      <c r="I235"/>
      <c r="J235" s="122">
        <v>2.86</v>
      </c>
      <c r="K235"/>
      <c r="L235"/>
      <c r="M235"/>
      <c r="N235"/>
      <c r="O235"/>
      <c r="P235"/>
      <c r="R235"/>
      <c r="T235"/>
      <c r="V235"/>
      <c r="X235"/>
      <c r="Z235"/>
    </row>
    <row r="236" spans="1:26" ht="30" x14ac:dyDescent="0.25">
      <c r="A236" s="234" t="s">
        <v>1655</v>
      </c>
      <c r="B236">
        <v>13294</v>
      </c>
      <c r="C236" s="121" t="s">
        <v>879</v>
      </c>
      <c r="D236" t="s">
        <v>229</v>
      </c>
      <c r="E236" s="153">
        <f t="shared" si="33"/>
        <v>0</v>
      </c>
      <c r="F236" s="348">
        <f t="shared" si="35"/>
        <v>0.82</v>
      </c>
      <c r="G236" s="410">
        <f t="shared" si="34"/>
        <v>0</v>
      </c>
      <c r="H236" s="6" t="s">
        <v>175</v>
      </c>
      <c r="I236"/>
      <c r="J236" s="122">
        <v>0.82</v>
      </c>
      <c r="K236"/>
      <c r="L236"/>
      <c r="M236"/>
      <c r="N236"/>
      <c r="O236"/>
      <c r="P236"/>
      <c r="R236"/>
      <c r="T236"/>
      <c r="V236"/>
      <c r="X236"/>
      <c r="Z236"/>
    </row>
    <row r="237" spans="1:26" ht="30" x14ac:dyDescent="0.25">
      <c r="A237" s="234" t="s">
        <v>1656</v>
      </c>
      <c r="B237">
        <v>11948</v>
      </c>
      <c r="C237" s="121" t="s">
        <v>880</v>
      </c>
      <c r="D237" t="s">
        <v>229</v>
      </c>
      <c r="E237" s="153">
        <f t="shared" si="33"/>
        <v>0</v>
      </c>
      <c r="F237" s="348">
        <f t="shared" si="35"/>
        <v>0.36</v>
      </c>
      <c r="G237" s="410">
        <f t="shared" si="34"/>
        <v>0</v>
      </c>
      <c r="H237" s="6" t="s">
        <v>175</v>
      </c>
      <c r="I237"/>
      <c r="J237" s="122">
        <v>0.36</v>
      </c>
      <c r="K237"/>
      <c r="L237"/>
      <c r="M237"/>
      <c r="N237"/>
      <c r="O237"/>
      <c r="P237"/>
      <c r="R237"/>
      <c r="T237"/>
      <c r="V237"/>
      <c r="X237"/>
      <c r="Z237"/>
    </row>
    <row r="238" spans="1:26" ht="30" x14ac:dyDescent="0.25">
      <c r="A238" s="234" t="s">
        <v>1657</v>
      </c>
      <c r="B238">
        <v>4382</v>
      </c>
      <c r="C238" s="121" t="s">
        <v>881</v>
      </c>
      <c r="D238" t="s">
        <v>229</v>
      </c>
      <c r="E238" s="153">
        <f t="shared" si="33"/>
        <v>0</v>
      </c>
      <c r="F238" s="348">
        <f t="shared" si="35"/>
        <v>0.61</v>
      </c>
      <c r="G238" s="410">
        <f t="shared" si="34"/>
        <v>0</v>
      </c>
      <c r="H238" s="6" t="s">
        <v>175</v>
      </c>
      <c r="I238"/>
      <c r="J238" s="122">
        <v>0.61</v>
      </c>
      <c r="K238"/>
      <c r="L238"/>
      <c r="M238"/>
      <c r="N238"/>
      <c r="O238"/>
      <c r="P238"/>
      <c r="R238"/>
      <c r="T238"/>
      <c r="V238"/>
      <c r="X238"/>
      <c r="Z238"/>
    </row>
    <row r="239" spans="1:26" ht="30" x14ac:dyDescent="0.25">
      <c r="A239" s="234" t="s">
        <v>1658</v>
      </c>
      <c r="B239">
        <v>4354</v>
      </c>
      <c r="C239" s="121" t="s">
        <v>882</v>
      </c>
      <c r="D239" t="s">
        <v>229</v>
      </c>
      <c r="E239" s="153">
        <f t="shared" si="33"/>
        <v>0</v>
      </c>
      <c r="F239" s="348">
        <f t="shared" si="35"/>
        <v>25.65</v>
      </c>
      <c r="G239" s="410">
        <f t="shared" si="34"/>
        <v>0</v>
      </c>
      <c r="H239" s="6" t="s">
        <v>175</v>
      </c>
      <c r="I239"/>
      <c r="J239" s="122">
        <v>25.65</v>
      </c>
      <c r="K239"/>
      <c r="L239"/>
      <c r="M239"/>
      <c r="N239"/>
      <c r="O239"/>
      <c r="P239"/>
      <c r="R239"/>
      <c r="T239"/>
      <c r="V239"/>
      <c r="X239"/>
      <c r="Z239"/>
    </row>
    <row r="240" spans="1:26" ht="30" x14ac:dyDescent="0.25">
      <c r="A240" s="234" t="s">
        <v>1659</v>
      </c>
      <c r="B240">
        <v>40839</v>
      </c>
      <c r="C240" s="121" t="s">
        <v>883</v>
      </c>
      <c r="D240" t="s">
        <v>874</v>
      </c>
      <c r="E240" s="153">
        <f t="shared" si="33"/>
        <v>0</v>
      </c>
      <c r="F240" s="348">
        <f t="shared" si="35"/>
        <v>61.72</v>
      </c>
      <c r="G240" s="410">
        <f t="shared" si="34"/>
        <v>0</v>
      </c>
      <c r="H240" s="6" t="s">
        <v>175</v>
      </c>
      <c r="I240"/>
      <c r="J240" s="122">
        <v>61.72</v>
      </c>
      <c r="K240"/>
      <c r="L240"/>
      <c r="M240"/>
      <c r="N240"/>
      <c r="O240"/>
      <c r="P240"/>
      <c r="R240"/>
      <c r="T240"/>
      <c r="V240"/>
      <c r="X240"/>
      <c r="Z240"/>
    </row>
    <row r="241" spans="1:26" ht="30" x14ac:dyDescent="0.25">
      <c r="A241" s="234" t="s">
        <v>1660</v>
      </c>
      <c r="B241">
        <v>40552</v>
      </c>
      <c r="C241" s="121" t="s">
        <v>884</v>
      </c>
      <c r="D241" t="s">
        <v>874</v>
      </c>
      <c r="E241" s="153">
        <f t="shared" si="33"/>
        <v>0</v>
      </c>
      <c r="F241" s="348">
        <f t="shared" si="35"/>
        <v>25.54</v>
      </c>
      <c r="G241" s="410">
        <f t="shared" si="34"/>
        <v>0</v>
      </c>
      <c r="H241" s="6" t="s">
        <v>175</v>
      </c>
      <c r="I241"/>
      <c r="J241" s="122">
        <v>25.54</v>
      </c>
      <c r="K241"/>
      <c r="L241"/>
      <c r="M241"/>
      <c r="N241"/>
      <c r="O241"/>
      <c r="P241"/>
      <c r="R241"/>
      <c r="T241"/>
      <c r="V241"/>
      <c r="X241"/>
      <c r="Z241"/>
    </row>
    <row r="242" spans="1:26" ht="30" x14ac:dyDescent="0.25">
      <c r="A242" s="234" t="s">
        <v>1661</v>
      </c>
      <c r="B242">
        <v>40549</v>
      </c>
      <c r="C242" s="121" t="s">
        <v>885</v>
      </c>
      <c r="D242" t="s">
        <v>874</v>
      </c>
      <c r="E242" s="153">
        <f t="shared" si="33"/>
        <v>0</v>
      </c>
      <c r="F242" s="348">
        <f t="shared" si="35"/>
        <v>101.1</v>
      </c>
      <c r="G242" s="410">
        <f t="shared" si="34"/>
        <v>0</v>
      </c>
      <c r="H242" s="6" t="s">
        <v>175</v>
      </c>
      <c r="I242"/>
      <c r="J242" s="122">
        <v>101.1</v>
      </c>
      <c r="K242"/>
      <c r="L242"/>
      <c r="M242"/>
      <c r="N242"/>
      <c r="O242"/>
      <c r="P242"/>
      <c r="R242"/>
      <c r="T242"/>
      <c r="V242"/>
      <c r="X242"/>
      <c r="Z242"/>
    </row>
    <row r="243" spans="1:26" x14ac:dyDescent="0.25">
      <c r="A243" s="234" t="s">
        <v>1662</v>
      </c>
      <c r="B243" s="118"/>
      <c r="C243" s="236" t="s">
        <v>102</v>
      </c>
      <c r="D243" s="241" t="s">
        <v>66</v>
      </c>
      <c r="E243" s="153">
        <f t="shared" si="33"/>
        <v>300</v>
      </c>
      <c r="F243" s="348">
        <f t="shared" si="35"/>
        <v>114.3575</v>
      </c>
      <c r="G243" s="410">
        <f t="shared" si="34"/>
        <v>34307.25</v>
      </c>
      <c r="H243" s="152"/>
      <c r="I243" s="243">
        <v>110.9</v>
      </c>
      <c r="J243" s="31"/>
      <c r="K243" s="31">
        <v>144.5</v>
      </c>
      <c r="L243" s="31">
        <f>(84.9/6*5)</f>
        <v>70.75</v>
      </c>
      <c r="M243" s="31">
        <v>93.18</v>
      </c>
      <c r="N243" s="31"/>
      <c r="O243" s="31"/>
      <c r="P243" s="31">
        <v>149</v>
      </c>
      <c r="Q243" s="27">
        <v>50</v>
      </c>
      <c r="R243" s="57">
        <f>$F243*Q243</f>
        <v>5717.875</v>
      </c>
      <c r="S243" s="34">
        <v>100</v>
      </c>
      <c r="T243" s="60">
        <f>$F243*S243</f>
        <v>11435.75</v>
      </c>
      <c r="U243" s="35">
        <v>50</v>
      </c>
      <c r="V243" s="61">
        <f>$F243*U243</f>
        <v>5717.875</v>
      </c>
      <c r="W243" s="45">
        <v>50</v>
      </c>
      <c r="X243" s="62">
        <f>$F243*W243</f>
        <v>5717.875</v>
      </c>
      <c r="Y243" s="36">
        <v>50</v>
      </c>
      <c r="Z243" s="63">
        <f>$F243*Y243</f>
        <v>5717.875</v>
      </c>
    </row>
    <row r="244" spans="1:26" x14ac:dyDescent="0.25">
      <c r="A244" s="234" t="s">
        <v>1663</v>
      </c>
      <c r="B244" s="234"/>
      <c r="C244" s="236" t="s">
        <v>103</v>
      </c>
      <c r="D244" s="241" t="s">
        <v>66</v>
      </c>
      <c r="E244" s="153">
        <f t="shared" si="33"/>
        <v>230</v>
      </c>
      <c r="F244" s="348">
        <f t="shared" si="35"/>
        <v>113.145</v>
      </c>
      <c r="G244" s="410">
        <f t="shared" si="34"/>
        <v>26023.35</v>
      </c>
      <c r="H244" s="152"/>
      <c r="I244" s="243">
        <v>111.7</v>
      </c>
      <c r="J244" s="31"/>
      <c r="K244" s="31">
        <v>144.5</v>
      </c>
      <c r="L244" s="31">
        <f>84.9/6*5</f>
        <v>70.75</v>
      </c>
      <c r="M244" s="31">
        <v>88.33</v>
      </c>
      <c r="N244" s="31"/>
      <c r="O244" s="31"/>
      <c r="P244" s="31">
        <v>149</v>
      </c>
      <c r="Q244" s="27">
        <v>50</v>
      </c>
      <c r="R244" s="57">
        <f>$F244*Q244</f>
        <v>5657.25</v>
      </c>
      <c r="S244" s="34">
        <v>50</v>
      </c>
      <c r="T244" s="60">
        <f>$F244*S244</f>
        <v>5657.25</v>
      </c>
      <c r="U244" s="35">
        <v>50</v>
      </c>
      <c r="V244" s="61">
        <f>$F244*U244</f>
        <v>5657.25</v>
      </c>
      <c r="W244" s="45">
        <v>30</v>
      </c>
      <c r="X244" s="62">
        <f>$F244*W244</f>
        <v>3394.35</v>
      </c>
      <c r="Y244" s="36">
        <v>50</v>
      </c>
      <c r="Z244" s="63">
        <f>$F244*Y244</f>
        <v>5657.25</v>
      </c>
    </row>
    <row r="245" spans="1:26" ht="30" x14ac:dyDescent="0.25">
      <c r="A245" s="234" t="s">
        <v>1664</v>
      </c>
      <c r="B245" s="142">
        <v>4720</v>
      </c>
      <c r="C245" s="143" t="s">
        <v>965</v>
      </c>
      <c r="D245" s="142" t="s">
        <v>962</v>
      </c>
      <c r="E245" s="153">
        <f t="shared" si="33"/>
        <v>0</v>
      </c>
      <c r="F245" s="348">
        <f t="shared" si="35"/>
        <v>79.8</v>
      </c>
      <c r="G245" s="410">
        <f t="shared" si="34"/>
        <v>0</v>
      </c>
      <c r="H245" s="8" t="s">
        <v>175</v>
      </c>
      <c r="I245" s="142"/>
      <c r="J245" s="144">
        <v>79.8</v>
      </c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spans="1:26" ht="30" x14ac:dyDescent="0.25">
      <c r="A246" s="234" t="s">
        <v>1665</v>
      </c>
      <c r="B246">
        <v>4721</v>
      </c>
      <c r="C246" s="121" t="s">
        <v>966</v>
      </c>
      <c r="D246" s="142" t="s">
        <v>962</v>
      </c>
      <c r="E246" s="153">
        <f t="shared" si="33"/>
        <v>0</v>
      </c>
      <c r="F246" s="348">
        <f t="shared" si="35"/>
        <v>62.5</v>
      </c>
      <c r="G246" s="410">
        <f t="shared" si="34"/>
        <v>0</v>
      </c>
      <c r="H246" s="8" t="s">
        <v>175</v>
      </c>
      <c r="I246" s="142"/>
      <c r="J246" s="144">
        <v>62.5</v>
      </c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spans="1:26" ht="30" x14ac:dyDescent="0.25">
      <c r="A247" s="234" t="s">
        <v>1666</v>
      </c>
      <c r="B247">
        <v>4718</v>
      </c>
      <c r="C247" s="143" t="s">
        <v>967</v>
      </c>
      <c r="D247" s="142" t="s">
        <v>962</v>
      </c>
      <c r="E247" s="153">
        <f t="shared" si="33"/>
        <v>0</v>
      </c>
      <c r="F247" s="348">
        <f t="shared" si="35"/>
        <v>62.5</v>
      </c>
      <c r="G247" s="410">
        <f t="shared" si="34"/>
        <v>0</v>
      </c>
      <c r="H247" s="8" t="s">
        <v>175</v>
      </c>
      <c r="I247" s="142"/>
      <c r="J247" s="144">
        <v>62.5</v>
      </c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spans="1:26" ht="30" x14ac:dyDescent="0.25">
      <c r="A248" s="234" t="s">
        <v>1667</v>
      </c>
      <c r="B248">
        <v>4722</v>
      </c>
      <c r="C248" s="143" t="s">
        <v>968</v>
      </c>
      <c r="D248" s="142" t="s">
        <v>962</v>
      </c>
      <c r="E248" s="153">
        <f t="shared" si="33"/>
        <v>0</v>
      </c>
      <c r="F248" s="348">
        <f t="shared" si="35"/>
        <v>62.5</v>
      </c>
      <c r="G248" s="410">
        <f t="shared" si="34"/>
        <v>0</v>
      </c>
      <c r="H248" s="8" t="s">
        <v>175</v>
      </c>
      <c r="I248" s="142"/>
      <c r="J248" s="144">
        <v>62.5</v>
      </c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spans="1:26" ht="45" x14ac:dyDescent="0.25">
      <c r="A249" s="234" t="s">
        <v>1668</v>
      </c>
      <c r="B249" s="142">
        <v>39573</v>
      </c>
      <c r="C249" s="143" t="s">
        <v>1005</v>
      </c>
      <c r="D249" s="142" t="s">
        <v>229</v>
      </c>
      <c r="E249" s="153">
        <f t="shared" si="33"/>
        <v>0</v>
      </c>
      <c r="F249" s="348">
        <f t="shared" si="35"/>
        <v>1.31</v>
      </c>
      <c r="G249" s="410">
        <f t="shared" si="34"/>
        <v>0</v>
      </c>
      <c r="H249" s="8" t="s">
        <v>175</v>
      </c>
      <c r="I249" s="142"/>
      <c r="J249" s="144">
        <v>1.31</v>
      </c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spans="1:26" ht="45" x14ac:dyDescent="0.25">
      <c r="A250" s="234" t="s">
        <v>1669</v>
      </c>
      <c r="B250" s="142">
        <v>39573</v>
      </c>
      <c r="C250" s="143" t="s">
        <v>1005</v>
      </c>
      <c r="D250" s="142" t="s">
        <v>229</v>
      </c>
      <c r="E250" s="153">
        <f t="shared" si="33"/>
        <v>0</v>
      </c>
      <c r="F250" s="348">
        <f t="shared" si="35"/>
        <v>1.31</v>
      </c>
      <c r="G250" s="410">
        <f t="shared" si="34"/>
        <v>0</v>
      </c>
      <c r="H250" s="8" t="s">
        <v>175</v>
      </c>
      <c r="I250" s="142"/>
      <c r="J250" s="144">
        <v>1.31</v>
      </c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spans="1:26" ht="45" x14ac:dyDescent="0.25">
      <c r="A251" s="234" t="s">
        <v>1670</v>
      </c>
      <c r="B251" s="142">
        <v>14077</v>
      </c>
      <c r="C251" s="143" t="s">
        <v>1041</v>
      </c>
      <c r="D251" s="142" t="s">
        <v>237</v>
      </c>
      <c r="E251" s="153">
        <f t="shared" si="33"/>
        <v>0</v>
      </c>
      <c r="F251" s="348">
        <f t="shared" si="35"/>
        <v>134.69</v>
      </c>
      <c r="G251" s="410">
        <f t="shared" si="34"/>
        <v>0</v>
      </c>
      <c r="H251" s="8" t="s">
        <v>175</v>
      </c>
      <c r="I251" s="142"/>
      <c r="J251" s="144">
        <v>134.69</v>
      </c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spans="1:26" ht="30" x14ac:dyDescent="0.25">
      <c r="A252" s="234" t="s">
        <v>1671</v>
      </c>
      <c r="B252" s="142">
        <v>39571</v>
      </c>
      <c r="C252" s="143" t="s">
        <v>1006</v>
      </c>
      <c r="D252" s="142" t="s">
        <v>237</v>
      </c>
      <c r="E252" s="153">
        <f t="shared" si="33"/>
        <v>0</v>
      </c>
      <c r="F252" s="348">
        <f t="shared" si="35"/>
        <v>3.22</v>
      </c>
      <c r="G252" s="410">
        <f t="shared" si="34"/>
        <v>0</v>
      </c>
      <c r="H252" s="8" t="s">
        <v>175</v>
      </c>
      <c r="I252" s="142"/>
      <c r="J252" s="144">
        <v>3.22</v>
      </c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spans="1:26" ht="30" x14ac:dyDescent="0.25">
      <c r="A253" s="234" t="s">
        <v>1672</v>
      </c>
      <c r="B253" s="142">
        <v>39572</v>
      </c>
      <c r="C253" s="143" t="s">
        <v>1007</v>
      </c>
      <c r="D253" s="142" t="s">
        <v>237</v>
      </c>
      <c r="E253" s="153">
        <f t="shared" si="33"/>
        <v>0</v>
      </c>
      <c r="F253" s="348">
        <f t="shared" si="35"/>
        <v>2.98</v>
      </c>
      <c r="G253" s="410">
        <f t="shared" si="34"/>
        <v>0</v>
      </c>
      <c r="H253" s="8" t="s">
        <v>175</v>
      </c>
      <c r="I253" s="142"/>
      <c r="J253" s="144">
        <v>2.98</v>
      </c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spans="1:26" ht="45" x14ac:dyDescent="0.25">
      <c r="A254" s="234" t="s">
        <v>1673</v>
      </c>
      <c r="B254" s="142">
        <v>39570</v>
      </c>
      <c r="C254" s="143" t="s">
        <v>1008</v>
      </c>
      <c r="D254" s="142" t="s">
        <v>237</v>
      </c>
      <c r="E254" s="153">
        <f t="shared" si="33"/>
        <v>0</v>
      </c>
      <c r="F254" s="348">
        <f t="shared" si="35"/>
        <v>3.16</v>
      </c>
      <c r="G254" s="410">
        <f t="shared" si="34"/>
        <v>0</v>
      </c>
      <c r="H254" s="8" t="s">
        <v>175</v>
      </c>
      <c r="I254" s="142"/>
      <c r="J254" s="144">
        <v>3.16</v>
      </c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spans="1:26" x14ac:dyDescent="0.25">
      <c r="A255" s="234" t="s">
        <v>1674</v>
      </c>
      <c r="B255" s="118"/>
      <c r="C255" s="236" t="s">
        <v>104</v>
      </c>
      <c r="D255" s="241" t="s">
        <v>1</v>
      </c>
      <c r="E255" s="153">
        <f t="shared" si="33"/>
        <v>40</v>
      </c>
      <c r="F255" s="348">
        <f t="shared" si="35"/>
        <v>68.790000000000006</v>
      </c>
      <c r="G255" s="410">
        <f t="shared" si="34"/>
        <v>2751.6000000000004</v>
      </c>
      <c r="H255" s="152"/>
      <c r="I255" s="243">
        <v>64</v>
      </c>
      <c r="J255" s="31"/>
      <c r="K255" s="31">
        <v>77.459999999999994</v>
      </c>
      <c r="L255" s="31">
        <v>68.900000000000006</v>
      </c>
      <c r="M255" s="31">
        <v>79.34</v>
      </c>
      <c r="N255" s="31"/>
      <c r="O255" s="31"/>
      <c r="P255" s="31">
        <v>49.46</v>
      </c>
      <c r="Q255" s="27">
        <v>5</v>
      </c>
      <c r="R255" s="57">
        <f>$F255*Q255</f>
        <v>343.95000000000005</v>
      </c>
      <c r="S255" s="34">
        <v>5</v>
      </c>
      <c r="T255" s="60">
        <f>$F255*S255</f>
        <v>343.95000000000005</v>
      </c>
      <c r="U255" s="35">
        <v>15</v>
      </c>
      <c r="V255" s="61">
        <f>$F255*U255</f>
        <v>1031.8500000000001</v>
      </c>
      <c r="W255" s="45">
        <v>10</v>
      </c>
      <c r="X255" s="62">
        <f>$F255*W255</f>
        <v>687.90000000000009</v>
      </c>
      <c r="Y255" s="36">
        <v>5</v>
      </c>
      <c r="Z255" s="63">
        <f>$F255*Y255</f>
        <v>343.95000000000005</v>
      </c>
    </row>
    <row r="256" spans="1:26" ht="30" x14ac:dyDescent="0.25">
      <c r="A256" s="234" t="s">
        <v>1675</v>
      </c>
      <c r="B256" s="142">
        <v>11091</v>
      </c>
      <c r="C256" s="143" t="s">
        <v>908</v>
      </c>
      <c r="D256" s="142" t="s">
        <v>229</v>
      </c>
      <c r="E256" s="153">
        <f t="shared" si="33"/>
        <v>0</v>
      </c>
      <c r="F256" s="348">
        <f t="shared" si="35"/>
        <v>1.03</v>
      </c>
      <c r="G256" s="410">
        <f t="shared" si="34"/>
        <v>0</v>
      </c>
      <c r="H256" s="8" t="s">
        <v>175</v>
      </c>
      <c r="I256" s="142"/>
      <c r="J256" s="144">
        <v>1.03</v>
      </c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spans="1:26" x14ac:dyDescent="0.25">
      <c r="A257" s="234" t="s">
        <v>1676</v>
      </c>
      <c r="B257" s="118"/>
      <c r="C257" s="236" t="s">
        <v>178</v>
      </c>
      <c r="D257" s="241" t="s">
        <v>105</v>
      </c>
      <c r="E257" s="153">
        <f t="shared" si="33"/>
        <v>850</v>
      </c>
      <c r="F257" s="348">
        <f t="shared" si="35"/>
        <v>15.799999999999999</v>
      </c>
      <c r="G257" s="410">
        <f t="shared" si="34"/>
        <v>13430</v>
      </c>
      <c r="H257" s="152"/>
      <c r="I257" s="243">
        <v>16.399999999999999</v>
      </c>
      <c r="J257" s="31">
        <v>17.760000000000002</v>
      </c>
      <c r="K257" s="31">
        <v>13.9</v>
      </c>
      <c r="L257" s="31">
        <v>14.59</v>
      </c>
      <c r="M257" s="31">
        <v>13.9</v>
      </c>
      <c r="N257" s="31"/>
      <c r="O257" s="31">
        <v>16.899999999999999</v>
      </c>
      <c r="P257" s="31">
        <v>17.75</v>
      </c>
      <c r="Q257" s="27">
        <v>100</v>
      </c>
      <c r="R257" s="57">
        <f>$F257*Q257</f>
        <v>1580</v>
      </c>
      <c r="S257" s="34">
        <v>300</v>
      </c>
      <c r="T257" s="60">
        <f>$F257*S257</f>
        <v>4740</v>
      </c>
      <c r="U257" s="35">
        <v>200</v>
      </c>
      <c r="V257" s="61">
        <f>$F257*U257</f>
        <v>3160</v>
      </c>
      <c r="W257" s="45">
        <v>100</v>
      </c>
      <c r="X257" s="62">
        <f>$F257*W257</f>
        <v>1580</v>
      </c>
      <c r="Y257" s="36">
        <v>150</v>
      </c>
      <c r="Z257" s="63">
        <f>$F257*Y257</f>
        <v>2370</v>
      </c>
    </row>
    <row r="258" spans="1:26" ht="30" x14ac:dyDescent="0.25">
      <c r="A258" s="234" t="s">
        <v>1677</v>
      </c>
      <c r="B258" s="142">
        <v>4801</v>
      </c>
      <c r="C258" s="143" t="s">
        <v>1042</v>
      </c>
      <c r="D258" s="142" t="s">
        <v>572</v>
      </c>
      <c r="E258" s="153">
        <f t="shared" si="33"/>
        <v>0</v>
      </c>
      <c r="F258" s="348">
        <f t="shared" si="35"/>
        <v>49.47</v>
      </c>
      <c r="G258" s="410">
        <f t="shared" si="34"/>
        <v>0</v>
      </c>
      <c r="H258" s="8" t="s">
        <v>175</v>
      </c>
      <c r="I258" s="142"/>
      <c r="J258" s="144">
        <v>49.47</v>
      </c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spans="1:26" ht="30" x14ac:dyDescent="0.25">
      <c r="A259" s="234" t="s">
        <v>1678</v>
      </c>
      <c r="B259" s="142">
        <v>4794</v>
      </c>
      <c r="C259" s="143" t="s">
        <v>1043</v>
      </c>
      <c r="D259" s="142" t="s">
        <v>572</v>
      </c>
      <c r="E259" s="153">
        <f t="shared" si="33"/>
        <v>0</v>
      </c>
      <c r="F259" s="348">
        <f t="shared" si="35"/>
        <v>225.33</v>
      </c>
      <c r="G259" s="410">
        <f t="shared" si="34"/>
        <v>0</v>
      </c>
      <c r="H259" s="8" t="s">
        <v>175</v>
      </c>
      <c r="I259" s="142"/>
      <c r="J259" s="144">
        <v>225.33</v>
      </c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</row>
    <row r="260" spans="1:26" ht="30" x14ac:dyDescent="0.25">
      <c r="A260" s="234" t="s">
        <v>1679</v>
      </c>
      <c r="B260" s="142">
        <v>4796</v>
      </c>
      <c r="C260" s="143" t="s">
        <v>1044</v>
      </c>
      <c r="D260" s="142" t="s">
        <v>572</v>
      </c>
      <c r="E260" s="153">
        <f t="shared" si="33"/>
        <v>0</v>
      </c>
      <c r="F260" s="348">
        <f t="shared" si="35"/>
        <v>136.86000000000001</v>
      </c>
      <c r="G260" s="410">
        <f t="shared" si="34"/>
        <v>0</v>
      </c>
      <c r="H260" s="8" t="s">
        <v>175</v>
      </c>
      <c r="I260" s="142"/>
      <c r="J260" s="144">
        <v>136.86000000000001</v>
      </c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</row>
    <row r="261" spans="1:26" ht="30" x14ac:dyDescent="0.25">
      <c r="A261" s="234" t="s">
        <v>1680</v>
      </c>
      <c r="B261" s="142">
        <v>4800</v>
      </c>
      <c r="C261" s="143" t="s">
        <v>1045</v>
      </c>
      <c r="D261" s="142" t="s">
        <v>572</v>
      </c>
      <c r="E261" s="153">
        <f t="shared" ref="E261:E324" si="36">Q261+S261+U261+W261+Y261</f>
        <v>0</v>
      </c>
      <c r="F261" s="348">
        <f t="shared" si="35"/>
        <v>37.64</v>
      </c>
      <c r="G261" s="410">
        <f t="shared" ref="G261:G324" si="37">R261+T261+V261+X261+Z261</f>
        <v>0</v>
      </c>
      <c r="H261" s="8" t="s">
        <v>175</v>
      </c>
      <c r="I261" s="142"/>
      <c r="J261" s="144">
        <v>37.64</v>
      </c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</row>
    <row r="262" spans="1:26" ht="30" x14ac:dyDescent="0.25">
      <c r="A262" s="234" t="s">
        <v>1681</v>
      </c>
      <c r="B262" s="142">
        <v>4795</v>
      </c>
      <c r="C262" s="143" t="s">
        <v>1046</v>
      </c>
      <c r="D262" s="142" t="s">
        <v>572</v>
      </c>
      <c r="E262" s="153">
        <f t="shared" si="36"/>
        <v>0</v>
      </c>
      <c r="F262" s="348">
        <f t="shared" si="35"/>
        <v>219.35</v>
      </c>
      <c r="G262" s="410">
        <f t="shared" si="37"/>
        <v>0</v>
      </c>
      <c r="H262" s="8" t="s">
        <v>175</v>
      </c>
      <c r="I262" s="142"/>
      <c r="J262" s="144">
        <v>219.35</v>
      </c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</row>
    <row r="263" spans="1:26" ht="60" x14ac:dyDescent="0.25">
      <c r="A263" s="234" t="s">
        <v>1682</v>
      </c>
      <c r="B263" s="142">
        <v>39694</v>
      </c>
      <c r="C263" s="143" t="s">
        <v>1047</v>
      </c>
      <c r="D263" s="142" t="s">
        <v>572</v>
      </c>
      <c r="E263" s="153">
        <f t="shared" si="36"/>
        <v>0</v>
      </c>
      <c r="F263" s="348">
        <f t="shared" si="35"/>
        <v>244.24</v>
      </c>
      <c r="G263" s="410">
        <f t="shared" si="37"/>
        <v>0</v>
      </c>
      <c r="H263" s="8" t="s">
        <v>175</v>
      </c>
      <c r="I263" s="142"/>
      <c r="J263" s="144">
        <v>244.24</v>
      </c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</row>
    <row r="264" spans="1:26" ht="30" x14ac:dyDescent="0.25">
      <c r="A264" s="234" t="s">
        <v>1683</v>
      </c>
      <c r="B264" s="142">
        <v>1292</v>
      </c>
      <c r="C264" s="143" t="s">
        <v>1048</v>
      </c>
      <c r="D264" s="142" t="s">
        <v>572</v>
      </c>
      <c r="E264" s="153">
        <f t="shared" si="36"/>
        <v>0</v>
      </c>
      <c r="F264" s="348">
        <f t="shared" si="35"/>
        <v>43.66</v>
      </c>
      <c r="G264" s="410">
        <f t="shared" si="37"/>
        <v>0</v>
      </c>
      <c r="H264" s="8" t="s">
        <v>175</v>
      </c>
      <c r="I264" s="142"/>
      <c r="J264" s="144">
        <v>43.66</v>
      </c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</row>
    <row r="265" spans="1:26" ht="30" x14ac:dyDescent="0.25">
      <c r="A265" s="234" t="s">
        <v>1684</v>
      </c>
      <c r="B265" s="142">
        <v>1287</v>
      </c>
      <c r="C265" s="143" t="s">
        <v>1049</v>
      </c>
      <c r="D265" s="142" t="s">
        <v>572</v>
      </c>
      <c r="E265" s="153">
        <f t="shared" si="36"/>
        <v>0</v>
      </c>
      <c r="F265" s="348">
        <f t="shared" si="35"/>
        <v>21.42</v>
      </c>
      <c r="G265" s="410">
        <f t="shared" si="37"/>
        <v>0</v>
      </c>
      <c r="H265" s="8" t="s">
        <v>175</v>
      </c>
      <c r="I265" s="142"/>
      <c r="J265" s="144">
        <v>21.42</v>
      </c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</row>
    <row r="266" spans="1:26" ht="45" x14ac:dyDescent="0.25">
      <c r="A266" s="234" t="s">
        <v>1685</v>
      </c>
      <c r="B266" s="142">
        <v>1297</v>
      </c>
      <c r="C266" s="143" t="s">
        <v>1050</v>
      </c>
      <c r="D266" s="142" t="s">
        <v>572</v>
      </c>
      <c r="E266" s="153">
        <f t="shared" si="36"/>
        <v>0</v>
      </c>
      <c r="F266" s="348">
        <f t="shared" si="35"/>
        <v>17.760000000000002</v>
      </c>
      <c r="G266" s="410">
        <f t="shared" si="37"/>
        <v>0</v>
      </c>
      <c r="H266" s="8" t="s">
        <v>175</v>
      </c>
      <c r="I266" s="142"/>
      <c r="J266" s="144">
        <v>17.760000000000002</v>
      </c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</row>
    <row r="267" spans="1:26" ht="45" x14ac:dyDescent="0.25">
      <c r="A267" s="234" t="s">
        <v>1686</v>
      </c>
      <c r="B267" s="142">
        <v>4786</v>
      </c>
      <c r="C267" s="143" t="s">
        <v>1051</v>
      </c>
      <c r="D267" s="142" t="s">
        <v>572</v>
      </c>
      <c r="E267" s="153">
        <f t="shared" si="36"/>
        <v>0</v>
      </c>
      <c r="F267" s="348">
        <f t="shared" si="35"/>
        <v>80</v>
      </c>
      <c r="G267" s="410">
        <f t="shared" si="37"/>
        <v>0</v>
      </c>
      <c r="H267" s="8" t="s">
        <v>175</v>
      </c>
      <c r="I267" s="142"/>
      <c r="J267" s="144">
        <v>80</v>
      </c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</row>
    <row r="268" spans="1:26" ht="60" x14ac:dyDescent="0.25">
      <c r="A268" s="234" t="s">
        <v>1687</v>
      </c>
      <c r="B268" s="142">
        <v>10840</v>
      </c>
      <c r="C268" s="143" t="s">
        <v>1052</v>
      </c>
      <c r="D268" s="142" t="s">
        <v>572</v>
      </c>
      <c r="E268" s="153">
        <f t="shared" si="36"/>
        <v>0</v>
      </c>
      <c r="F268" s="348">
        <f t="shared" si="35"/>
        <v>275</v>
      </c>
      <c r="G268" s="410">
        <f t="shared" si="37"/>
        <v>0</v>
      </c>
      <c r="H268" s="8" t="s">
        <v>175</v>
      </c>
      <c r="I268" s="142"/>
      <c r="J268" s="144">
        <v>275</v>
      </c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</row>
    <row r="269" spans="1:26" ht="60" x14ac:dyDescent="0.25">
      <c r="A269" s="234" t="s">
        <v>1688</v>
      </c>
      <c r="B269" s="142">
        <v>10841</v>
      </c>
      <c r="C269" s="143" t="s">
        <v>1053</v>
      </c>
      <c r="D269" s="142" t="s">
        <v>572</v>
      </c>
      <c r="E269" s="153">
        <f t="shared" si="36"/>
        <v>0</v>
      </c>
      <c r="F269" s="348">
        <f t="shared" si="35"/>
        <v>207.54</v>
      </c>
      <c r="G269" s="410">
        <f t="shared" si="37"/>
        <v>0</v>
      </c>
      <c r="H269" s="8" t="s">
        <v>175</v>
      </c>
      <c r="I269" s="142"/>
      <c r="J269" s="144">
        <v>207.54</v>
      </c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</row>
    <row r="270" spans="1:26" ht="45" x14ac:dyDescent="0.25">
      <c r="A270" s="234" t="s">
        <v>1689</v>
      </c>
      <c r="B270" s="142">
        <v>25980</v>
      </c>
      <c r="C270" s="143" t="s">
        <v>1054</v>
      </c>
      <c r="D270" s="142" t="s">
        <v>572</v>
      </c>
      <c r="E270" s="153">
        <f t="shared" si="36"/>
        <v>0</v>
      </c>
      <c r="F270" s="348">
        <f t="shared" si="35"/>
        <v>265.19</v>
      </c>
      <c r="G270" s="410">
        <f t="shared" si="37"/>
        <v>0</v>
      </c>
      <c r="H270" s="8" t="s">
        <v>175</v>
      </c>
      <c r="I270" s="142"/>
      <c r="J270" s="144">
        <v>265.19</v>
      </c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</row>
    <row r="271" spans="1:26" ht="45" x14ac:dyDescent="0.25">
      <c r="A271" s="234" t="s">
        <v>1690</v>
      </c>
      <c r="B271" s="142">
        <v>10842</v>
      </c>
      <c r="C271" s="143" t="s">
        <v>1055</v>
      </c>
      <c r="D271" s="142" t="s">
        <v>572</v>
      </c>
      <c r="E271" s="153">
        <f t="shared" si="36"/>
        <v>0</v>
      </c>
      <c r="F271" s="348">
        <f t="shared" si="35"/>
        <v>299.79000000000002</v>
      </c>
      <c r="G271" s="410">
        <f t="shared" si="37"/>
        <v>0</v>
      </c>
      <c r="H271" s="8" t="s">
        <v>175</v>
      </c>
      <c r="I271" s="142"/>
      <c r="J271" s="144">
        <v>299.79000000000002</v>
      </c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</row>
    <row r="272" spans="1:26" ht="30" x14ac:dyDescent="0.25">
      <c r="A272" s="234" t="s">
        <v>1691</v>
      </c>
      <c r="B272" s="142">
        <v>21108</v>
      </c>
      <c r="C272" s="143" t="s">
        <v>1056</v>
      </c>
      <c r="D272" s="142" t="s">
        <v>572</v>
      </c>
      <c r="E272" s="153">
        <f t="shared" si="36"/>
        <v>0</v>
      </c>
      <c r="F272" s="348">
        <f t="shared" si="35"/>
        <v>58.19</v>
      </c>
      <c r="G272" s="410">
        <f t="shared" si="37"/>
        <v>0</v>
      </c>
      <c r="H272" s="8" t="s">
        <v>175</v>
      </c>
      <c r="I272" s="142"/>
      <c r="J272" s="144">
        <v>58.19</v>
      </c>
      <c r="K272" s="142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</row>
    <row r="273" spans="1:26" ht="30" x14ac:dyDescent="0.25">
      <c r="A273" s="234" t="s">
        <v>1692</v>
      </c>
      <c r="B273" s="142">
        <v>38180</v>
      </c>
      <c r="C273" s="143" t="s">
        <v>959</v>
      </c>
      <c r="D273" s="142" t="s">
        <v>572</v>
      </c>
      <c r="E273" s="153">
        <f t="shared" si="36"/>
        <v>0</v>
      </c>
      <c r="F273" s="348">
        <f t="shared" si="35"/>
        <v>110.19</v>
      </c>
      <c r="G273" s="410">
        <f t="shared" si="37"/>
        <v>0</v>
      </c>
      <c r="H273" s="8" t="s">
        <v>175</v>
      </c>
      <c r="I273" s="142"/>
      <c r="J273" s="144">
        <v>110.19</v>
      </c>
      <c r="K273" s="142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</row>
    <row r="274" spans="1:26" ht="30" x14ac:dyDescent="0.25">
      <c r="A274" s="234" t="s">
        <v>1693</v>
      </c>
      <c r="B274" s="142">
        <v>40648</v>
      </c>
      <c r="C274" s="143" t="s">
        <v>1057</v>
      </c>
      <c r="D274" s="142" t="s">
        <v>572</v>
      </c>
      <c r="E274" s="153">
        <f t="shared" si="36"/>
        <v>0</v>
      </c>
      <c r="F274" s="348">
        <f t="shared" si="35"/>
        <v>153.6</v>
      </c>
      <c r="G274" s="410">
        <f t="shared" si="37"/>
        <v>0</v>
      </c>
      <c r="H274" s="8" t="s">
        <v>175</v>
      </c>
      <c r="I274" s="142"/>
      <c r="J274" s="144">
        <v>153.6</v>
      </c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</row>
    <row r="275" spans="1:26" ht="30" x14ac:dyDescent="0.25">
      <c r="A275" s="234" t="s">
        <v>1694</v>
      </c>
      <c r="B275" s="142">
        <v>40649</v>
      </c>
      <c r="C275" s="143" t="s">
        <v>1058</v>
      </c>
      <c r="D275" s="142" t="s">
        <v>572</v>
      </c>
      <c r="E275" s="153">
        <f t="shared" si="36"/>
        <v>0</v>
      </c>
      <c r="F275" s="348">
        <f t="shared" si="35"/>
        <v>89.47</v>
      </c>
      <c r="G275" s="410">
        <f t="shared" si="37"/>
        <v>0</v>
      </c>
      <c r="H275" s="8" t="s">
        <v>175</v>
      </c>
      <c r="I275" s="142"/>
      <c r="J275" s="144">
        <v>89.47</v>
      </c>
      <c r="K275" s="142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</row>
    <row r="276" spans="1:26" ht="30" x14ac:dyDescent="0.25">
      <c r="A276" s="234" t="s">
        <v>1695</v>
      </c>
      <c r="B276" s="142">
        <v>40650</v>
      </c>
      <c r="C276" s="143" t="s">
        <v>1059</v>
      </c>
      <c r="D276" s="142" t="s">
        <v>572</v>
      </c>
      <c r="E276" s="153">
        <f t="shared" si="36"/>
        <v>0</v>
      </c>
      <c r="F276" s="348">
        <f t="shared" si="35"/>
        <v>115.2</v>
      </c>
      <c r="G276" s="410">
        <f t="shared" si="37"/>
        <v>0</v>
      </c>
      <c r="H276" s="8" t="s">
        <v>175</v>
      </c>
      <c r="I276" s="142"/>
      <c r="J276" s="144">
        <v>115.2</v>
      </c>
      <c r="K276" s="142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</row>
    <row r="277" spans="1:26" ht="30" x14ac:dyDescent="0.25">
      <c r="A277" s="234" t="s">
        <v>1696</v>
      </c>
      <c r="B277" s="142">
        <v>40651</v>
      </c>
      <c r="C277" s="143" t="s">
        <v>1060</v>
      </c>
      <c r="D277" s="142" t="s">
        <v>572</v>
      </c>
      <c r="E277" s="153">
        <f t="shared" si="36"/>
        <v>0</v>
      </c>
      <c r="F277" s="348">
        <f t="shared" si="35"/>
        <v>212.48</v>
      </c>
      <c r="G277" s="410">
        <f t="shared" si="37"/>
        <v>0</v>
      </c>
      <c r="H277" s="8" t="s">
        <v>175</v>
      </c>
      <c r="I277" s="142"/>
      <c r="J277" s="144">
        <v>212.48</v>
      </c>
      <c r="K277" s="142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</row>
    <row r="278" spans="1:26" ht="30" x14ac:dyDescent="0.25">
      <c r="A278" s="234" t="s">
        <v>1697</v>
      </c>
      <c r="B278" s="142">
        <v>40652</v>
      </c>
      <c r="C278" s="143" t="s">
        <v>1061</v>
      </c>
      <c r="D278" s="142" t="s">
        <v>572</v>
      </c>
      <c r="E278" s="153">
        <f t="shared" si="36"/>
        <v>0</v>
      </c>
      <c r="F278" s="348">
        <f t="shared" ref="F278:F341" si="38">IF(H278="SINAPI",J278,AVERAGE(J278:P278))</f>
        <v>113.92</v>
      </c>
      <c r="G278" s="410">
        <f t="shared" si="37"/>
        <v>0</v>
      </c>
      <c r="H278" s="8" t="s">
        <v>175</v>
      </c>
      <c r="I278" s="142"/>
      <c r="J278" s="144">
        <v>113.92</v>
      </c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</row>
    <row r="279" spans="1:26" ht="45" x14ac:dyDescent="0.25">
      <c r="A279" s="234" t="s">
        <v>1698</v>
      </c>
      <c r="B279" s="142">
        <v>40647</v>
      </c>
      <c r="C279" s="143" t="s">
        <v>1062</v>
      </c>
      <c r="D279" s="142" t="s">
        <v>572</v>
      </c>
      <c r="E279" s="153">
        <f t="shared" si="36"/>
        <v>0</v>
      </c>
      <c r="F279" s="348">
        <f t="shared" si="38"/>
        <v>125.44</v>
      </c>
      <c r="G279" s="410">
        <f t="shared" si="37"/>
        <v>0</v>
      </c>
      <c r="H279" s="8" t="s">
        <v>175</v>
      </c>
      <c r="I279" s="142"/>
      <c r="J279" s="144">
        <v>125.44</v>
      </c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</row>
    <row r="280" spans="1:26" ht="30" x14ac:dyDescent="0.25">
      <c r="A280" s="234" t="s">
        <v>1699</v>
      </c>
      <c r="B280" s="142">
        <v>36178</v>
      </c>
      <c r="C280" s="143" t="s">
        <v>1063</v>
      </c>
      <c r="D280" s="142" t="s">
        <v>229</v>
      </c>
      <c r="E280" s="153">
        <f t="shared" si="36"/>
        <v>0</v>
      </c>
      <c r="F280" s="348">
        <f t="shared" si="38"/>
        <v>6.63</v>
      </c>
      <c r="G280" s="410">
        <f t="shared" si="37"/>
        <v>0</v>
      </c>
      <c r="H280" s="8" t="s">
        <v>175</v>
      </c>
      <c r="I280" s="142"/>
      <c r="J280" s="144">
        <v>6.63</v>
      </c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</row>
    <row r="281" spans="1:26" ht="30" x14ac:dyDescent="0.25">
      <c r="A281" s="234" t="s">
        <v>1700</v>
      </c>
      <c r="B281" s="142">
        <v>38181</v>
      </c>
      <c r="C281" s="143" t="s">
        <v>1064</v>
      </c>
      <c r="D281" s="142" t="s">
        <v>572</v>
      </c>
      <c r="E281" s="153">
        <f t="shared" si="36"/>
        <v>0</v>
      </c>
      <c r="F281" s="348">
        <f t="shared" si="38"/>
        <v>150.43</v>
      </c>
      <c r="G281" s="410">
        <f t="shared" si="37"/>
        <v>0</v>
      </c>
      <c r="H281" s="8" t="s">
        <v>175</v>
      </c>
      <c r="I281" s="142"/>
      <c r="J281" s="144">
        <v>150.43</v>
      </c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</row>
    <row r="282" spans="1:26" ht="30" x14ac:dyDescent="0.25">
      <c r="A282" s="234" t="s">
        <v>1701</v>
      </c>
      <c r="B282" s="142">
        <v>38182</v>
      </c>
      <c r="C282" s="143" t="s">
        <v>1065</v>
      </c>
      <c r="D282" s="142" t="s">
        <v>572</v>
      </c>
      <c r="E282" s="153">
        <f t="shared" si="36"/>
        <v>0</v>
      </c>
      <c r="F282" s="348">
        <f t="shared" si="38"/>
        <v>143.29</v>
      </c>
      <c r="G282" s="410">
        <f t="shared" si="37"/>
        <v>0</v>
      </c>
      <c r="H282" s="8" t="s">
        <v>175</v>
      </c>
      <c r="I282" s="142"/>
      <c r="J282" s="144">
        <v>143.29</v>
      </c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</row>
    <row r="283" spans="1:26" ht="45" x14ac:dyDescent="0.25">
      <c r="A283" s="234" t="s">
        <v>1702</v>
      </c>
      <c r="B283" s="142">
        <v>39515</v>
      </c>
      <c r="C283" s="143" t="s">
        <v>1009</v>
      </c>
      <c r="D283" s="142" t="s">
        <v>229</v>
      </c>
      <c r="E283" s="153">
        <f t="shared" si="36"/>
        <v>0</v>
      </c>
      <c r="F283" s="348">
        <f t="shared" si="38"/>
        <v>32.369999999999997</v>
      </c>
      <c r="G283" s="410">
        <f t="shared" si="37"/>
        <v>0</v>
      </c>
      <c r="H283" s="8" t="s">
        <v>175</v>
      </c>
      <c r="I283" s="142"/>
      <c r="J283" s="144">
        <v>32.369999999999997</v>
      </c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</row>
    <row r="284" spans="1:26" ht="30" x14ac:dyDescent="0.25">
      <c r="A284" s="234" t="s">
        <v>1703</v>
      </c>
      <c r="B284" s="142">
        <v>4309</v>
      </c>
      <c r="C284" s="143" t="s">
        <v>909</v>
      </c>
      <c r="D284" s="142" t="s">
        <v>229</v>
      </c>
      <c r="E284" s="153">
        <f t="shared" si="36"/>
        <v>0</v>
      </c>
      <c r="F284" s="348">
        <f t="shared" si="38"/>
        <v>4.6500000000000004</v>
      </c>
      <c r="G284" s="410">
        <f t="shared" si="37"/>
        <v>0</v>
      </c>
      <c r="H284" s="8" t="s">
        <v>175</v>
      </c>
      <c r="I284" s="142"/>
      <c r="J284" s="144">
        <v>4.6500000000000004</v>
      </c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</row>
    <row r="285" spans="1:26" ht="30" x14ac:dyDescent="0.25">
      <c r="A285" s="234" t="s">
        <v>1704</v>
      </c>
      <c r="B285" s="142">
        <v>4307</v>
      </c>
      <c r="C285" s="143" t="s">
        <v>910</v>
      </c>
      <c r="D285" s="142" t="s">
        <v>229</v>
      </c>
      <c r="E285" s="153">
        <f t="shared" si="36"/>
        <v>0</v>
      </c>
      <c r="F285" s="348">
        <f t="shared" si="38"/>
        <v>7.96</v>
      </c>
      <c r="G285" s="410">
        <f t="shared" si="37"/>
        <v>0</v>
      </c>
      <c r="H285" s="8" t="s">
        <v>175</v>
      </c>
      <c r="I285" s="142"/>
      <c r="J285" s="144">
        <v>7.96</v>
      </c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</row>
    <row r="286" spans="1:26" ht="30" x14ac:dyDescent="0.25">
      <c r="A286" s="234" t="s">
        <v>1705</v>
      </c>
      <c r="B286" s="142">
        <v>4792</v>
      </c>
      <c r="C286" s="143" t="s">
        <v>1066</v>
      </c>
      <c r="D286" s="142" t="s">
        <v>572</v>
      </c>
      <c r="E286" s="153">
        <f t="shared" si="36"/>
        <v>0</v>
      </c>
      <c r="F286" s="348">
        <f t="shared" si="38"/>
        <v>105.78</v>
      </c>
      <c r="G286" s="410">
        <f t="shared" si="37"/>
        <v>0</v>
      </c>
      <c r="H286" s="8" t="s">
        <v>175</v>
      </c>
      <c r="I286" s="142"/>
      <c r="J286" s="144">
        <v>105.78</v>
      </c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</row>
    <row r="287" spans="1:26" ht="30" x14ac:dyDescent="0.25">
      <c r="A287" s="234" t="s">
        <v>1706</v>
      </c>
      <c r="B287" s="142">
        <v>4790</v>
      </c>
      <c r="C287" s="143" t="s">
        <v>1067</v>
      </c>
      <c r="D287" s="142" t="s">
        <v>572</v>
      </c>
      <c r="E287" s="153">
        <f t="shared" si="36"/>
        <v>0</v>
      </c>
      <c r="F287" s="348">
        <f t="shared" si="38"/>
        <v>63.6</v>
      </c>
      <c r="G287" s="410">
        <f t="shared" si="37"/>
        <v>0</v>
      </c>
      <c r="H287" s="8" t="s">
        <v>175</v>
      </c>
      <c r="I287" s="142"/>
      <c r="J287" s="144">
        <v>63.6</v>
      </c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45" x14ac:dyDescent="0.25">
      <c r="A288" s="234" t="s">
        <v>1707</v>
      </c>
      <c r="B288" s="142">
        <v>40671</v>
      </c>
      <c r="C288" s="143" t="s">
        <v>1068</v>
      </c>
      <c r="D288" s="142" t="s">
        <v>572</v>
      </c>
      <c r="E288" s="153">
        <f t="shared" si="36"/>
        <v>0</v>
      </c>
      <c r="F288" s="348">
        <f t="shared" si="38"/>
        <v>37.79</v>
      </c>
      <c r="G288" s="410">
        <f t="shared" si="37"/>
        <v>0</v>
      </c>
      <c r="H288" s="8" t="s">
        <v>175</v>
      </c>
      <c r="I288" s="142"/>
      <c r="J288" s="144">
        <v>37.79</v>
      </c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</row>
    <row r="289" spans="1:28" ht="45" x14ac:dyDescent="0.25">
      <c r="A289" s="234" t="s">
        <v>1708</v>
      </c>
      <c r="B289" s="8">
        <v>39504</v>
      </c>
      <c r="C289" s="230" t="s">
        <v>1092</v>
      </c>
      <c r="D289" s="8" t="s">
        <v>229</v>
      </c>
      <c r="E289" s="153">
        <f t="shared" si="36"/>
        <v>0</v>
      </c>
      <c r="F289" s="348">
        <f t="shared" si="38"/>
        <v>172.15</v>
      </c>
      <c r="G289" s="410">
        <f t="shared" si="37"/>
        <v>0</v>
      </c>
      <c r="H289" s="8" t="s">
        <v>175</v>
      </c>
      <c r="I289" s="8"/>
      <c r="J289" s="58">
        <v>172.15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8" ht="45" x14ac:dyDescent="0.25">
      <c r="A290" s="234" t="s">
        <v>1709</v>
      </c>
      <c r="B290" s="8">
        <v>39505</v>
      </c>
      <c r="C290" s="230" t="s">
        <v>1093</v>
      </c>
      <c r="D290" s="8" t="s">
        <v>229</v>
      </c>
      <c r="E290" s="153">
        <f t="shared" si="36"/>
        <v>0</v>
      </c>
      <c r="F290" s="348">
        <f t="shared" si="38"/>
        <v>187.6</v>
      </c>
      <c r="G290" s="410">
        <f t="shared" si="37"/>
        <v>0</v>
      </c>
      <c r="H290" s="8" t="s">
        <v>175</v>
      </c>
      <c r="I290" s="8"/>
      <c r="J290" s="58">
        <v>187.6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8" x14ac:dyDescent="0.25">
      <c r="A291" s="234" t="s">
        <v>1710</v>
      </c>
      <c r="B291" s="119"/>
      <c r="C291" s="181" t="s">
        <v>165</v>
      </c>
      <c r="D291" s="177" t="s">
        <v>1</v>
      </c>
      <c r="E291" s="153">
        <f t="shared" si="36"/>
        <v>105</v>
      </c>
      <c r="F291" s="348">
        <f t="shared" si="38"/>
        <v>98.330000000000013</v>
      </c>
      <c r="G291" s="410">
        <f t="shared" si="37"/>
        <v>10324.650000000001</v>
      </c>
      <c r="H291" s="229" t="s">
        <v>1100</v>
      </c>
      <c r="I291" s="231">
        <v>70</v>
      </c>
      <c r="J291" s="31">
        <v>74.42</v>
      </c>
      <c r="K291" s="31">
        <v>90</v>
      </c>
      <c r="L291" s="31"/>
      <c r="M291" s="31"/>
      <c r="N291" s="31"/>
      <c r="O291" s="31">
        <v>139.9</v>
      </c>
      <c r="P291" s="31">
        <v>89</v>
      </c>
      <c r="Q291" s="91">
        <v>10</v>
      </c>
      <c r="R291" s="71">
        <f>$F291*Q291</f>
        <v>983.30000000000018</v>
      </c>
      <c r="S291" s="72">
        <v>10</v>
      </c>
      <c r="T291" s="73">
        <f>$F291*S291</f>
        <v>983.30000000000018</v>
      </c>
      <c r="U291" s="92">
        <v>25</v>
      </c>
      <c r="V291" s="75">
        <f>$F291*U291</f>
        <v>2458.2500000000005</v>
      </c>
      <c r="W291" s="93">
        <v>40</v>
      </c>
      <c r="X291" s="77">
        <f>$F291*W291</f>
        <v>3933.2000000000007</v>
      </c>
      <c r="Y291" s="94">
        <v>20</v>
      </c>
      <c r="Z291" s="78">
        <f>$F291*Y291</f>
        <v>1966.6000000000004</v>
      </c>
      <c r="AA291" s="88"/>
      <c r="AB291" s="88"/>
    </row>
    <row r="292" spans="1:28" x14ac:dyDescent="0.25">
      <c r="A292" s="234" t="s">
        <v>1711</v>
      </c>
      <c r="B292" s="177"/>
      <c r="C292" s="181" t="s">
        <v>166</v>
      </c>
      <c r="D292" s="177" t="s">
        <v>1</v>
      </c>
      <c r="E292" s="153">
        <f t="shared" si="36"/>
        <v>75</v>
      </c>
      <c r="F292" s="348">
        <f t="shared" si="38"/>
        <v>118.8775</v>
      </c>
      <c r="G292" s="410">
        <f t="shared" si="37"/>
        <v>8915.8125</v>
      </c>
      <c r="H292" s="229" t="s">
        <v>1100</v>
      </c>
      <c r="I292" s="231">
        <v>100</v>
      </c>
      <c r="J292" s="31">
        <v>96.61</v>
      </c>
      <c r="K292" s="31">
        <v>90</v>
      </c>
      <c r="L292" s="31"/>
      <c r="M292" s="31"/>
      <c r="N292" s="31"/>
      <c r="O292" s="31">
        <v>199.9</v>
      </c>
      <c r="P292" s="31">
        <v>89</v>
      </c>
      <c r="Q292" s="91">
        <v>10</v>
      </c>
      <c r="R292" s="71">
        <f>$F292*Q292</f>
        <v>1188.7750000000001</v>
      </c>
      <c r="S292" s="72">
        <v>10</v>
      </c>
      <c r="T292" s="73">
        <f>$F292*S292</f>
        <v>1188.7750000000001</v>
      </c>
      <c r="U292" s="92">
        <v>5</v>
      </c>
      <c r="V292" s="75">
        <f>$F292*U292</f>
        <v>594.38750000000005</v>
      </c>
      <c r="W292" s="93">
        <v>30</v>
      </c>
      <c r="X292" s="77">
        <f>$F292*W292</f>
        <v>3566.3249999999998</v>
      </c>
      <c r="Y292" s="94">
        <v>20</v>
      </c>
      <c r="Z292" s="78">
        <f>$F292*Y292</f>
        <v>2377.5500000000002</v>
      </c>
      <c r="AA292" s="88"/>
      <c r="AB292" s="88"/>
    </row>
    <row r="293" spans="1:28" x14ac:dyDescent="0.25">
      <c r="A293" s="234" t="s">
        <v>1712</v>
      </c>
      <c r="B293" s="119"/>
      <c r="C293" s="179" t="s">
        <v>167</v>
      </c>
      <c r="D293" s="177" t="s">
        <v>1</v>
      </c>
      <c r="E293" s="153">
        <f t="shared" si="36"/>
        <v>83</v>
      </c>
      <c r="F293" s="348">
        <f t="shared" si="38"/>
        <v>117.63333333333333</v>
      </c>
      <c r="G293" s="410">
        <f t="shared" si="37"/>
        <v>9763.5666666666657</v>
      </c>
      <c r="H293" s="229" t="s">
        <v>1100</v>
      </c>
      <c r="I293" s="231">
        <v>121.47</v>
      </c>
      <c r="J293" s="31"/>
      <c r="K293" s="31">
        <v>100</v>
      </c>
      <c r="L293" s="31"/>
      <c r="M293" s="31"/>
      <c r="N293" s="31"/>
      <c r="O293" s="31">
        <v>154.9</v>
      </c>
      <c r="P293" s="31">
        <v>98</v>
      </c>
      <c r="Q293" s="91">
        <v>5</v>
      </c>
      <c r="R293" s="71">
        <f>$F293*Q293</f>
        <v>588.16666666666663</v>
      </c>
      <c r="S293" s="72">
        <v>5</v>
      </c>
      <c r="T293" s="73">
        <f>$F293*S293</f>
        <v>588.16666666666663</v>
      </c>
      <c r="U293" s="92">
        <v>50</v>
      </c>
      <c r="V293" s="75">
        <f>$F293*U293</f>
        <v>5881.6666666666661</v>
      </c>
      <c r="W293" s="93">
        <v>15</v>
      </c>
      <c r="X293" s="77">
        <f>$F293*W293</f>
        <v>1764.5</v>
      </c>
      <c r="Y293" s="94">
        <v>8</v>
      </c>
      <c r="Z293" s="78">
        <f>$F293*Y293</f>
        <v>941.06666666666661</v>
      </c>
      <c r="AA293" s="88"/>
      <c r="AB293" s="88"/>
    </row>
    <row r="294" spans="1:28" ht="45" x14ac:dyDescent="0.25">
      <c r="A294" s="234" t="s">
        <v>1713</v>
      </c>
      <c r="B294" s="142">
        <v>14164</v>
      </c>
      <c r="C294" s="143" t="s">
        <v>945</v>
      </c>
      <c r="D294" s="142" t="s">
        <v>229</v>
      </c>
      <c r="E294" s="153">
        <f t="shared" si="36"/>
        <v>0</v>
      </c>
      <c r="F294" s="348">
        <f t="shared" si="38"/>
        <v>1048.32</v>
      </c>
      <c r="G294" s="410">
        <f t="shared" si="37"/>
        <v>0</v>
      </c>
      <c r="H294" s="8" t="s">
        <v>175</v>
      </c>
      <c r="I294" s="142"/>
      <c r="J294" s="144">
        <v>1048.32</v>
      </c>
      <c r="K294" s="142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</row>
    <row r="295" spans="1:28" x14ac:dyDescent="0.25">
      <c r="A295" s="234" t="s">
        <v>1714</v>
      </c>
      <c r="B295" s="142">
        <v>12366</v>
      </c>
      <c r="C295" s="143" t="s">
        <v>946</v>
      </c>
      <c r="D295" s="142" t="s">
        <v>229</v>
      </c>
      <c r="E295" s="153">
        <f t="shared" si="36"/>
        <v>0</v>
      </c>
      <c r="F295" s="348">
        <f t="shared" si="38"/>
        <v>870.08</v>
      </c>
      <c r="G295" s="410">
        <f t="shared" si="37"/>
        <v>0</v>
      </c>
      <c r="H295" s="8" t="s">
        <v>175</v>
      </c>
      <c r="I295" s="142"/>
      <c r="J295" s="144">
        <v>870.08</v>
      </c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</row>
    <row r="296" spans="1:28" x14ac:dyDescent="0.25">
      <c r="A296" s="234" t="s">
        <v>1715</v>
      </c>
      <c r="B296" s="142">
        <v>5045</v>
      </c>
      <c r="C296" s="143" t="s">
        <v>947</v>
      </c>
      <c r="D296" s="142" t="s">
        <v>229</v>
      </c>
      <c r="E296" s="153">
        <f t="shared" si="36"/>
        <v>0</v>
      </c>
      <c r="F296" s="348">
        <f t="shared" si="38"/>
        <v>1211.6199999999999</v>
      </c>
      <c r="G296" s="410">
        <f t="shared" si="37"/>
        <v>0</v>
      </c>
      <c r="H296" s="8" t="s">
        <v>175</v>
      </c>
      <c r="I296" s="142"/>
      <c r="J296" s="144">
        <v>1211.6199999999999</v>
      </c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8" x14ac:dyDescent="0.25">
      <c r="A297" s="234" t="s">
        <v>1716</v>
      </c>
      <c r="B297">
        <v>5045</v>
      </c>
      <c r="C297" s="143" t="s">
        <v>947</v>
      </c>
      <c r="D297" s="142" t="s">
        <v>229</v>
      </c>
      <c r="E297" s="153">
        <f t="shared" si="36"/>
        <v>0</v>
      </c>
      <c r="F297" s="348">
        <f t="shared" si="38"/>
        <v>1211.6199999999999</v>
      </c>
      <c r="G297" s="410">
        <f t="shared" si="37"/>
        <v>0</v>
      </c>
      <c r="H297" s="8" t="s">
        <v>175</v>
      </c>
      <c r="I297" s="142"/>
      <c r="J297" s="144">
        <v>1211.6199999999999</v>
      </c>
      <c r="K297" s="142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</row>
    <row r="298" spans="1:28" x14ac:dyDescent="0.25">
      <c r="A298" s="234" t="s">
        <v>1717</v>
      </c>
      <c r="B298" s="142">
        <v>5044</v>
      </c>
      <c r="C298" s="143" t="s">
        <v>948</v>
      </c>
      <c r="D298" s="142" t="s">
        <v>229</v>
      </c>
      <c r="E298" s="153">
        <f t="shared" si="36"/>
        <v>0</v>
      </c>
      <c r="F298" s="348">
        <f t="shared" si="38"/>
        <v>854.81</v>
      </c>
      <c r="G298" s="410">
        <f t="shared" si="37"/>
        <v>0</v>
      </c>
      <c r="H298" s="8" t="s">
        <v>175</v>
      </c>
      <c r="I298" s="142"/>
      <c r="J298" s="144">
        <v>854.81</v>
      </c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8" x14ac:dyDescent="0.25">
      <c r="A299" s="234" t="s">
        <v>1718</v>
      </c>
      <c r="B299" s="142">
        <v>5036</v>
      </c>
      <c r="C299" s="143" t="s">
        <v>949</v>
      </c>
      <c r="D299" s="142" t="s">
        <v>229</v>
      </c>
      <c r="E299" s="153">
        <f t="shared" si="36"/>
        <v>0</v>
      </c>
      <c r="F299" s="348">
        <f t="shared" si="38"/>
        <v>2581.71</v>
      </c>
      <c r="G299" s="410">
        <f t="shared" si="37"/>
        <v>0</v>
      </c>
      <c r="H299" s="8" t="s">
        <v>175</v>
      </c>
      <c r="I299" s="142"/>
      <c r="J299" s="144">
        <v>2581.71</v>
      </c>
      <c r="K299" s="142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</row>
    <row r="300" spans="1:28" x14ac:dyDescent="0.25">
      <c r="A300" s="234" t="s">
        <v>1719</v>
      </c>
      <c r="B300" s="142">
        <v>12373</v>
      </c>
      <c r="C300" s="143" t="s">
        <v>950</v>
      </c>
      <c r="D300" s="142" t="s">
        <v>229</v>
      </c>
      <c r="E300" s="153">
        <f t="shared" si="36"/>
        <v>0</v>
      </c>
      <c r="F300" s="348">
        <f t="shared" si="38"/>
        <v>1443.68</v>
      </c>
      <c r="G300" s="410">
        <f t="shared" si="37"/>
        <v>0</v>
      </c>
      <c r="H300" s="8" t="s">
        <v>175</v>
      </c>
      <c r="I300" s="142"/>
      <c r="J300" s="144">
        <v>1443.68</v>
      </c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</row>
    <row r="301" spans="1:28" x14ac:dyDescent="0.25">
      <c r="A301" s="234" t="s">
        <v>1720</v>
      </c>
      <c r="B301" s="118"/>
      <c r="C301" s="14" t="s">
        <v>106</v>
      </c>
      <c r="D301" s="241" t="s">
        <v>88</v>
      </c>
      <c r="E301" s="153">
        <f t="shared" si="36"/>
        <v>75</v>
      </c>
      <c r="F301" s="348">
        <f t="shared" si="38"/>
        <v>16.106000000000002</v>
      </c>
      <c r="G301" s="410">
        <f t="shared" si="37"/>
        <v>1207.95</v>
      </c>
      <c r="H301" s="152"/>
      <c r="I301" s="243">
        <v>15.39</v>
      </c>
      <c r="J301" s="31">
        <v>14.67</v>
      </c>
      <c r="K301" s="31">
        <v>15.9</v>
      </c>
      <c r="L301" s="31">
        <f>6.79*4</f>
        <v>27.16</v>
      </c>
      <c r="M301" s="31"/>
      <c r="N301" s="31"/>
      <c r="O301" s="31">
        <v>8.9</v>
      </c>
      <c r="P301" s="31">
        <v>13.9</v>
      </c>
      <c r="Q301" s="27">
        <v>30</v>
      </c>
      <c r="R301" s="57">
        <f>$F301*Q301</f>
        <v>483.18000000000006</v>
      </c>
      <c r="S301" s="34">
        <v>5</v>
      </c>
      <c r="T301" s="60">
        <f>$F301*S301</f>
        <v>80.53</v>
      </c>
      <c r="U301" s="35">
        <v>15</v>
      </c>
      <c r="V301" s="61">
        <f>$F301*U301</f>
        <v>241.59000000000003</v>
      </c>
      <c r="W301" s="45">
        <v>15</v>
      </c>
      <c r="X301" s="62">
        <f>$F301*W301</f>
        <v>241.59000000000003</v>
      </c>
      <c r="Y301" s="36">
        <v>10</v>
      </c>
      <c r="Z301" s="63">
        <f>$F301*Y301</f>
        <v>161.06</v>
      </c>
    </row>
    <row r="302" spans="1:28" x14ac:dyDescent="0.25">
      <c r="A302" s="234" t="s">
        <v>1721</v>
      </c>
      <c r="B302" s="118"/>
      <c r="C302" s="14" t="s">
        <v>190</v>
      </c>
      <c r="D302" s="241" t="s">
        <v>88</v>
      </c>
      <c r="E302" s="153">
        <f t="shared" si="36"/>
        <v>70</v>
      </c>
      <c r="F302" s="348">
        <f t="shared" si="38"/>
        <v>11.088000000000001</v>
      </c>
      <c r="G302" s="410">
        <f t="shared" si="37"/>
        <v>776.16000000000008</v>
      </c>
      <c r="H302" s="152"/>
      <c r="I302" s="243">
        <v>13.46</v>
      </c>
      <c r="J302" s="31">
        <v>11.87</v>
      </c>
      <c r="K302" s="31">
        <v>13.48</v>
      </c>
      <c r="L302" s="31">
        <v>12.49</v>
      </c>
      <c r="M302" s="31"/>
      <c r="N302" s="31"/>
      <c r="O302" s="31">
        <v>5.5</v>
      </c>
      <c r="P302" s="31">
        <v>12.1</v>
      </c>
      <c r="Q302" s="27">
        <v>30</v>
      </c>
      <c r="R302" s="57">
        <f>$F302*Q302</f>
        <v>332.64000000000004</v>
      </c>
      <c r="S302" s="34">
        <v>5</v>
      </c>
      <c r="T302" s="60">
        <f>$F302*S302</f>
        <v>55.440000000000005</v>
      </c>
      <c r="U302" s="35">
        <v>5</v>
      </c>
      <c r="V302" s="61">
        <f>$F302*U302</f>
        <v>55.440000000000005</v>
      </c>
      <c r="W302" s="45">
        <v>20</v>
      </c>
      <c r="X302" s="62">
        <f>$F302*W302</f>
        <v>221.76000000000002</v>
      </c>
      <c r="Y302" s="36">
        <v>10</v>
      </c>
      <c r="Z302" s="63">
        <f>$F302*Y302</f>
        <v>110.88000000000001</v>
      </c>
    </row>
    <row r="303" spans="1:28" x14ac:dyDescent="0.25">
      <c r="A303" s="234" t="s">
        <v>1722</v>
      </c>
      <c r="B303" s="234"/>
      <c r="C303" s="14" t="s">
        <v>107</v>
      </c>
      <c r="D303" s="241" t="s">
        <v>88</v>
      </c>
      <c r="E303" s="153">
        <f t="shared" si="36"/>
        <v>50</v>
      </c>
      <c r="F303" s="348">
        <f t="shared" si="38"/>
        <v>14.648</v>
      </c>
      <c r="G303" s="410">
        <f t="shared" si="37"/>
        <v>732.4</v>
      </c>
      <c r="H303" s="152"/>
      <c r="I303" s="243">
        <v>12.56</v>
      </c>
      <c r="J303" s="31">
        <v>11.35</v>
      </c>
      <c r="K303" s="31">
        <v>11.87</v>
      </c>
      <c r="L303" s="31">
        <f>24.9</f>
        <v>24.9</v>
      </c>
      <c r="M303" s="31">
        <v>13.02</v>
      </c>
      <c r="N303" s="31"/>
      <c r="O303" s="31"/>
      <c r="P303" s="31">
        <v>12.1</v>
      </c>
      <c r="Q303" s="27">
        <v>15</v>
      </c>
      <c r="R303" s="57">
        <f>$F303*Q303</f>
        <v>219.72</v>
      </c>
      <c r="S303" s="34">
        <v>10</v>
      </c>
      <c r="T303" s="60">
        <f>$F303*S303</f>
        <v>146.47999999999999</v>
      </c>
      <c r="U303" s="35">
        <v>5</v>
      </c>
      <c r="V303" s="61">
        <f>$F303*U303</f>
        <v>73.239999999999995</v>
      </c>
      <c r="W303" s="45">
        <v>10</v>
      </c>
      <c r="X303" s="62">
        <f>$F303*W303</f>
        <v>146.47999999999999</v>
      </c>
      <c r="Y303" s="36">
        <v>10</v>
      </c>
      <c r="Z303" s="63">
        <f>$F303*Y303</f>
        <v>146.47999999999999</v>
      </c>
    </row>
    <row r="304" spans="1:28" x14ac:dyDescent="0.25">
      <c r="A304" s="234" t="s">
        <v>1723</v>
      </c>
      <c r="B304" s="118"/>
      <c r="C304" s="14" t="s">
        <v>108</v>
      </c>
      <c r="D304" s="241" t="s">
        <v>88</v>
      </c>
      <c r="E304" s="153">
        <f t="shared" si="36"/>
        <v>32</v>
      </c>
      <c r="F304" s="348">
        <f t="shared" si="38"/>
        <v>13.847999999999999</v>
      </c>
      <c r="G304" s="410">
        <f t="shared" si="37"/>
        <v>443.13599999999997</v>
      </c>
      <c r="H304" s="152"/>
      <c r="I304" s="243">
        <v>13.11</v>
      </c>
      <c r="J304" s="31">
        <v>11.14</v>
      </c>
      <c r="K304" s="31">
        <v>12.6</v>
      </c>
      <c r="L304" s="31">
        <v>24.9</v>
      </c>
      <c r="M304" s="31"/>
      <c r="N304" s="31"/>
      <c r="O304" s="31">
        <v>8.5</v>
      </c>
      <c r="P304" s="31">
        <v>12.1</v>
      </c>
      <c r="Q304" s="27">
        <v>5</v>
      </c>
      <c r="R304" s="57">
        <f>$F304*Q304</f>
        <v>69.239999999999995</v>
      </c>
      <c r="S304" s="34">
        <v>2</v>
      </c>
      <c r="T304" s="60">
        <f>$F304*S304</f>
        <v>27.695999999999998</v>
      </c>
      <c r="U304" s="35">
        <v>5</v>
      </c>
      <c r="V304" s="61">
        <f>$F304*U304</f>
        <v>69.239999999999995</v>
      </c>
      <c r="W304" s="45">
        <v>15</v>
      </c>
      <c r="X304" s="62">
        <f>$F304*W304</f>
        <v>207.71999999999997</v>
      </c>
      <c r="Y304" s="36">
        <v>5</v>
      </c>
      <c r="Z304" s="63">
        <f>$F304*Y304</f>
        <v>69.239999999999995</v>
      </c>
    </row>
    <row r="305" spans="1:28" x14ac:dyDescent="0.25">
      <c r="A305" s="234" t="s">
        <v>1724</v>
      </c>
      <c r="B305" s="118"/>
      <c r="C305" s="14" t="s">
        <v>109</v>
      </c>
      <c r="D305" s="241" t="s">
        <v>1</v>
      </c>
      <c r="E305" s="153">
        <f t="shared" si="36"/>
        <v>37</v>
      </c>
      <c r="F305" s="348">
        <f t="shared" si="38"/>
        <v>11.943333333333333</v>
      </c>
      <c r="G305" s="410">
        <f t="shared" si="37"/>
        <v>441.90333333333331</v>
      </c>
      <c r="H305" s="152"/>
      <c r="I305" s="244">
        <v>12.86</v>
      </c>
      <c r="J305" s="31">
        <v>11.13</v>
      </c>
      <c r="K305" s="31">
        <v>12.6</v>
      </c>
      <c r="L305" s="31"/>
      <c r="M305" s="31"/>
      <c r="N305" s="31"/>
      <c r="O305" s="31"/>
      <c r="P305" s="31">
        <v>12.1</v>
      </c>
      <c r="Q305" s="27">
        <v>5</v>
      </c>
      <c r="R305" s="57">
        <f>$F305*Q305</f>
        <v>59.716666666666669</v>
      </c>
      <c r="S305" s="34">
        <v>2</v>
      </c>
      <c r="T305" s="60">
        <f>$F305*S305</f>
        <v>23.886666666666667</v>
      </c>
      <c r="U305" s="35">
        <v>5</v>
      </c>
      <c r="V305" s="61">
        <f>$F305*U305</f>
        <v>59.716666666666669</v>
      </c>
      <c r="W305" s="45">
        <v>20</v>
      </c>
      <c r="X305" s="62">
        <f>$F305*W305</f>
        <v>238.86666666666667</v>
      </c>
      <c r="Y305" s="36">
        <v>5</v>
      </c>
      <c r="Z305" s="63">
        <f>$F305*Y305</f>
        <v>59.716666666666669</v>
      </c>
    </row>
    <row r="306" spans="1:28" x14ac:dyDescent="0.25">
      <c r="A306" s="234" t="s">
        <v>1725</v>
      </c>
      <c r="B306" s="142">
        <v>5065</v>
      </c>
      <c r="C306" s="143" t="s">
        <v>784</v>
      </c>
      <c r="D306" s="142" t="s">
        <v>236</v>
      </c>
      <c r="E306" s="153">
        <f t="shared" si="36"/>
        <v>0</v>
      </c>
      <c r="F306" s="348">
        <f t="shared" si="38"/>
        <v>21.96</v>
      </c>
      <c r="G306" s="410">
        <f t="shared" si="37"/>
        <v>0</v>
      </c>
      <c r="H306" s="8" t="s">
        <v>175</v>
      </c>
      <c r="I306" s="142"/>
      <c r="J306" s="144">
        <v>21.96</v>
      </c>
      <c r="K306" s="142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</row>
    <row r="307" spans="1:28" x14ac:dyDescent="0.25">
      <c r="A307" s="234" t="s">
        <v>1726</v>
      </c>
      <c r="B307" s="142">
        <v>5072</v>
      </c>
      <c r="C307" s="143" t="s">
        <v>785</v>
      </c>
      <c r="D307" s="142" t="s">
        <v>236</v>
      </c>
      <c r="E307" s="153">
        <f t="shared" si="36"/>
        <v>0</v>
      </c>
      <c r="F307" s="348">
        <f t="shared" si="38"/>
        <v>20.309999999999999</v>
      </c>
      <c r="G307" s="410">
        <f t="shared" si="37"/>
        <v>0</v>
      </c>
      <c r="H307" s="8" t="s">
        <v>175</v>
      </c>
      <c r="I307" s="142"/>
      <c r="J307" s="144">
        <v>20.309999999999999</v>
      </c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</row>
    <row r="308" spans="1:28" x14ac:dyDescent="0.25">
      <c r="A308" s="234" t="s">
        <v>1727</v>
      </c>
      <c r="B308" s="142">
        <v>5066</v>
      </c>
      <c r="C308" s="143" t="s">
        <v>786</v>
      </c>
      <c r="D308" s="142" t="s">
        <v>236</v>
      </c>
      <c r="E308" s="153">
        <f t="shared" si="36"/>
        <v>0</v>
      </c>
      <c r="F308" s="348">
        <f t="shared" si="38"/>
        <v>15.21</v>
      </c>
      <c r="G308" s="410">
        <f t="shared" si="37"/>
        <v>0</v>
      </c>
      <c r="H308" s="8" t="s">
        <v>175</v>
      </c>
      <c r="I308" s="142"/>
      <c r="J308" s="144">
        <v>15.21</v>
      </c>
      <c r="K308" s="142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</row>
    <row r="309" spans="1:28" x14ac:dyDescent="0.25">
      <c r="A309" s="234" t="s">
        <v>1728</v>
      </c>
      <c r="B309" s="142">
        <v>5063</v>
      </c>
      <c r="C309" s="143" t="s">
        <v>787</v>
      </c>
      <c r="D309" s="142" t="s">
        <v>236</v>
      </c>
      <c r="E309" s="153">
        <f t="shared" si="36"/>
        <v>0</v>
      </c>
      <c r="F309" s="348">
        <f t="shared" si="38"/>
        <v>13.77</v>
      </c>
      <c r="G309" s="410">
        <f t="shared" si="37"/>
        <v>0</v>
      </c>
      <c r="H309" s="8" t="s">
        <v>175</v>
      </c>
      <c r="I309" s="142"/>
      <c r="J309" s="144">
        <v>13.77</v>
      </c>
      <c r="K309" s="142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</row>
    <row r="310" spans="1:28" x14ac:dyDescent="0.25">
      <c r="A310" s="234" t="s">
        <v>1729</v>
      </c>
      <c r="B310" s="142">
        <v>5074</v>
      </c>
      <c r="C310" s="143" t="s">
        <v>788</v>
      </c>
      <c r="D310" s="142" t="s">
        <v>236</v>
      </c>
      <c r="E310" s="153">
        <f t="shared" si="36"/>
        <v>0</v>
      </c>
      <c r="F310" s="348">
        <f t="shared" si="38"/>
        <v>12.93</v>
      </c>
      <c r="G310" s="410">
        <f t="shared" si="37"/>
        <v>0</v>
      </c>
      <c r="H310" s="8" t="s">
        <v>175</v>
      </c>
      <c r="I310" s="142"/>
      <c r="J310" s="144">
        <v>12.93</v>
      </c>
      <c r="K310" s="142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</row>
    <row r="311" spans="1:28" x14ac:dyDescent="0.25">
      <c r="A311" s="234" t="s">
        <v>1730</v>
      </c>
      <c r="B311" s="142">
        <v>5067</v>
      </c>
      <c r="C311" s="143" t="s">
        <v>789</v>
      </c>
      <c r="D311" s="142" t="s">
        <v>236</v>
      </c>
      <c r="E311" s="153">
        <f t="shared" si="36"/>
        <v>0</v>
      </c>
      <c r="F311" s="348">
        <f t="shared" si="38"/>
        <v>12.3</v>
      </c>
      <c r="G311" s="410">
        <f t="shared" si="37"/>
        <v>0</v>
      </c>
      <c r="H311" s="8" t="s">
        <v>175</v>
      </c>
      <c r="I311" s="142"/>
      <c r="J311" s="144">
        <v>12.3</v>
      </c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</row>
    <row r="312" spans="1:28" x14ac:dyDescent="0.25">
      <c r="A312" s="234" t="s">
        <v>1731</v>
      </c>
      <c r="B312" s="142">
        <v>5078</v>
      </c>
      <c r="C312" s="143" t="s">
        <v>790</v>
      </c>
      <c r="D312" s="142" t="s">
        <v>236</v>
      </c>
      <c r="E312" s="153">
        <f t="shared" si="36"/>
        <v>0</v>
      </c>
      <c r="F312" s="348">
        <f t="shared" si="38"/>
        <v>12.16</v>
      </c>
      <c r="G312" s="410">
        <f t="shared" si="37"/>
        <v>0</v>
      </c>
      <c r="H312" s="8" t="s">
        <v>175</v>
      </c>
      <c r="I312" s="142"/>
      <c r="J312" s="144">
        <v>12.16</v>
      </c>
      <c r="K312" s="142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</row>
    <row r="313" spans="1:28" x14ac:dyDescent="0.25">
      <c r="A313" s="234" t="s">
        <v>1732</v>
      </c>
      <c r="B313" s="142">
        <v>5071</v>
      </c>
      <c r="C313" s="143" t="s">
        <v>791</v>
      </c>
      <c r="D313" s="142" t="s">
        <v>236</v>
      </c>
      <c r="E313" s="153">
        <f t="shared" si="36"/>
        <v>0</v>
      </c>
      <c r="F313" s="348">
        <f t="shared" si="38"/>
        <v>11.54</v>
      </c>
      <c r="G313" s="410">
        <f t="shared" si="37"/>
        <v>0</v>
      </c>
      <c r="H313" s="8" t="s">
        <v>175</v>
      </c>
      <c r="I313" s="142"/>
      <c r="J313" s="144">
        <v>11.54</v>
      </c>
      <c r="K313" s="142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</row>
    <row r="314" spans="1:28" x14ac:dyDescent="0.25">
      <c r="A314" s="234" t="s">
        <v>1733</v>
      </c>
      <c r="B314" s="142">
        <v>5061</v>
      </c>
      <c r="C314" s="143" t="s">
        <v>792</v>
      </c>
      <c r="D314" s="142" t="s">
        <v>236</v>
      </c>
      <c r="E314" s="153">
        <f t="shared" si="36"/>
        <v>0</v>
      </c>
      <c r="F314" s="348">
        <f t="shared" si="38"/>
        <v>11.35</v>
      </c>
      <c r="G314" s="410">
        <f t="shared" si="37"/>
        <v>0</v>
      </c>
      <c r="H314" s="8" t="s">
        <v>175</v>
      </c>
      <c r="I314" s="142"/>
      <c r="J314" s="144">
        <v>11.35</v>
      </c>
      <c r="K314" s="142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</row>
    <row r="315" spans="1:28" x14ac:dyDescent="0.25">
      <c r="A315" s="234" t="s">
        <v>1734</v>
      </c>
      <c r="B315" s="142">
        <v>5075</v>
      </c>
      <c r="C315" s="143" t="s">
        <v>793</v>
      </c>
      <c r="D315" s="142" t="s">
        <v>236</v>
      </c>
      <c r="E315" s="153">
        <f t="shared" si="36"/>
        <v>0</v>
      </c>
      <c r="F315" s="348">
        <f t="shared" si="38"/>
        <v>11.54</v>
      </c>
      <c r="G315" s="410">
        <f t="shared" si="37"/>
        <v>0</v>
      </c>
      <c r="H315" s="8" t="s">
        <v>175</v>
      </c>
      <c r="I315" s="142"/>
      <c r="J315" s="144">
        <v>11.54</v>
      </c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  <c r="AA315" s="16"/>
      <c r="AB315" s="16"/>
    </row>
    <row r="316" spans="1:28" x14ac:dyDescent="0.25">
      <c r="A316" s="234" t="s">
        <v>1735</v>
      </c>
      <c r="B316" s="142">
        <v>39027</v>
      </c>
      <c r="C316" s="143" t="s">
        <v>794</v>
      </c>
      <c r="D316" s="142" t="s">
        <v>236</v>
      </c>
      <c r="E316" s="153">
        <f t="shared" si="36"/>
        <v>0</v>
      </c>
      <c r="F316" s="348">
        <f t="shared" si="38"/>
        <v>11.53</v>
      </c>
      <c r="G316" s="410">
        <f t="shared" si="37"/>
        <v>0</v>
      </c>
      <c r="H316" s="8" t="s">
        <v>175</v>
      </c>
      <c r="I316" s="142"/>
      <c r="J316" s="144">
        <v>11.53</v>
      </c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</row>
    <row r="317" spans="1:28" x14ac:dyDescent="0.25">
      <c r="A317" s="234" t="s">
        <v>1736</v>
      </c>
      <c r="B317" s="142">
        <v>40568</v>
      </c>
      <c r="C317" s="143" t="s">
        <v>795</v>
      </c>
      <c r="D317" s="142" t="s">
        <v>236</v>
      </c>
      <c r="E317" s="153">
        <f t="shared" si="36"/>
        <v>0</v>
      </c>
      <c r="F317" s="348">
        <f t="shared" si="38"/>
        <v>11.63</v>
      </c>
      <c r="G317" s="410">
        <f t="shared" si="37"/>
        <v>0</v>
      </c>
      <c r="H317" s="8" t="s">
        <v>175</v>
      </c>
      <c r="I317" s="142"/>
      <c r="J317" s="144">
        <v>11.63</v>
      </c>
      <c r="K317" s="142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</row>
    <row r="318" spans="1:28" ht="30" x14ac:dyDescent="0.25">
      <c r="A318" s="234" t="s">
        <v>1737</v>
      </c>
      <c r="B318" s="142">
        <v>40304</v>
      </c>
      <c r="C318" s="143" t="s">
        <v>783</v>
      </c>
      <c r="D318" s="142" t="s">
        <v>236</v>
      </c>
      <c r="E318" s="153">
        <f t="shared" si="36"/>
        <v>0</v>
      </c>
      <c r="F318" s="348">
        <f t="shared" si="38"/>
        <v>14.25</v>
      </c>
      <c r="G318" s="410">
        <f t="shared" si="37"/>
        <v>0</v>
      </c>
      <c r="H318" s="8" t="s">
        <v>175</v>
      </c>
      <c r="I318" s="142"/>
      <c r="J318" s="144">
        <v>14.25</v>
      </c>
      <c r="K318" s="142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</row>
    <row r="319" spans="1:28" x14ac:dyDescent="0.25">
      <c r="A319" s="234" t="s">
        <v>1738</v>
      </c>
      <c r="B319" s="142">
        <v>39026</v>
      </c>
      <c r="C319" s="143" t="s">
        <v>796</v>
      </c>
      <c r="D319" s="142" t="s">
        <v>236</v>
      </c>
      <c r="E319" s="153">
        <f t="shared" si="36"/>
        <v>0</v>
      </c>
      <c r="F319" s="348">
        <f t="shared" si="38"/>
        <v>12.98</v>
      </c>
      <c r="G319" s="410">
        <f t="shared" si="37"/>
        <v>0</v>
      </c>
      <c r="H319" s="8" t="s">
        <v>175</v>
      </c>
      <c r="I319" s="142"/>
      <c r="J319" s="144">
        <v>12.98</v>
      </c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</row>
    <row r="320" spans="1:28" x14ac:dyDescent="0.25">
      <c r="A320" s="234" t="s">
        <v>1739</v>
      </c>
      <c r="B320" s="142">
        <v>39026</v>
      </c>
      <c r="C320" s="143" t="s">
        <v>796</v>
      </c>
      <c r="D320" s="142" t="s">
        <v>236</v>
      </c>
      <c r="E320" s="153">
        <f t="shared" si="36"/>
        <v>0</v>
      </c>
      <c r="F320" s="348">
        <f t="shared" si="38"/>
        <v>12.98</v>
      </c>
      <c r="G320" s="410">
        <f t="shared" si="37"/>
        <v>0</v>
      </c>
      <c r="H320" s="8" t="s">
        <v>175</v>
      </c>
      <c r="I320" s="142"/>
      <c r="J320" s="144">
        <v>12.98</v>
      </c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</row>
    <row r="321" spans="1:28" ht="45" x14ac:dyDescent="0.25">
      <c r="A321" s="234" t="s">
        <v>1740</v>
      </c>
      <c r="B321" s="142">
        <v>5080</v>
      </c>
      <c r="C321" s="143" t="s">
        <v>886</v>
      </c>
      <c r="D321" s="142" t="s">
        <v>229</v>
      </c>
      <c r="E321" s="153">
        <f t="shared" si="36"/>
        <v>0</v>
      </c>
      <c r="F321" s="348">
        <f t="shared" si="38"/>
        <v>11.37</v>
      </c>
      <c r="G321" s="410">
        <f t="shared" si="37"/>
        <v>0</v>
      </c>
      <c r="H321" s="8" t="s">
        <v>175</v>
      </c>
      <c r="I321" s="142"/>
      <c r="J321" s="144">
        <v>11.37</v>
      </c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</row>
    <row r="322" spans="1:28" ht="60" x14ac:dyDescent="0.25">
      <c r="A322" s="234" t="s">
        <v>1741</v>
      </c>
      <c r="B322" s="142">
        <v>11522</v>
      </c>
      <c r="C322" s="143" t="s">
        <v>887</v>
      </c>
      <c r="D322" s="142" t="s">
        <v>229</v>
      </c>
      <c r="E322" s="153">
        <f t="shared" si="36"/>
        <v>0</v>
      </c>
      <c r="F322" s="348">
        <f t="shared" si="38"/>
        <v>14.21</v>
      </c>
      <c r="G322" s="410">
        <f t="shared" si="37"/>
        <v>0</v>
      </c>
      <c r="H322" s="8" t="s">
        <v>175</v>
      </c>
      <c r="I322" s="142"/>
      <c r="J322" s="144">
        <v>14.21</v>
      </c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</row>
    <row r="323" spans="1:28" x14ac:dyDescent="0.25">
      <c r="A323" s="234" t="s">
        <v>1742</v>
      </c>
      <c r="B323" s="119"/>
      <c r="C323" s="181" t="s">
        <v>168</v>
      </c>
      <c r="D323" s="177" t="s">
        <v>1</v>
      </c>
      <c r="E323" s="153">
        <f t="shared" si="36"/>
        <v>160</v>
      </c>
      <c r="F323" s="348">
        <f t="shared" si="38"/>
        <v>13.43</v>
      </c>
      <c r="G323" s="410">
        <f t="shared" si="37"/>
        <v>2148.8000000000002</v>
      </c>
      <c r="H323" s="229" t="s">
        <v>1100</v>
      </c>
      <c r="I323" s="254">
        <v>7.23</v>
      </c>
      <c r="J323" s="31"/>
      <c r="K323" s="31">
        <v>7.96</v>
      </c>
      <c r="L323" s="31"/>
      <c r="M323" s="31"/>
      <c r="N323" s="31"/>
      <c r="O323" s="31">
        <v>18.899999999999999</v>
      </c>
      <c r="P323" s="31"/>
      <c r="Q323" s="95">
        <v>10</v>
      </c>
      <c r="R323" s="71">
        <f>$F323*Q323</f>
        <v>134.30000000000001</v>
      </c>
      <c r="S323" s="72">
        <v>50</v>
      </c>
      <c r="T323" s="73">
        <f>$F323*S323</f>
        <v>671.5</v>
      </c>
      <c r="U323" s="92">
        <v>50</v>
      </c>
      <c r="V323" s="75">
        <f>$F323*U323</f>
        <v>671.5</v>
      </c>
      <c r="W323" s="93">
        <v>0</v>
      </c>
      <c r="X323" s="77">
        <f>$F323*W323</f>
        <v>0</v>
      </c>
      <c r="Y323" s="94">
        <v>50</v>
      </c>
      <c r="Z323" s="78">
        <f>$F323*Y323</f>
        <v>671.5</v>
      </c>
      <c r="AA323" s="88"/>
      <c r="AB323" s="88"/>
    </row>
    <row r="324" spans="1:28" x14ac:dyDescent="0.25">
      <c r="A324" s="234" t="s">
        <v>1743</v>
      </c>
      <c r="B324" s="118"/>
      <c r="C324" s="13" t="s">
        <v>110</v>
      </c>
      <c r="D324" s="241" t="s">
        <v>1</v>
      </c>
      <c r="E324" s="153">
        <f t="shared" si="36"/>
        <v>17</v>
      </c>
      <c r="F324" s="348">
        <f t="shared" si="38"/>
        <v>31.294000000000004</v>
      </c>
      <c r="G324" s="410">
        <f t="shared" si="37"/>
        <v>531.99800000000005</v>
      </c>
      <c r="H324" s="152"/>
      <c r="I324" s="244">
        <v>93.12</v>
      </c>
      <c r="J324" s="31"/>
      <c r="K324" s="31">
        <v>30.97</v>
      </c>
      <c r="L324" s="31">
        <v>34.9</v>
      </c>
      <c r="M324" s="31">
        <v>33.9</v>
      </c>
      <c r="N324" s="31"/>
      <c r="O324" s="31">
        <v>26.9</v>
      </c>
      <c r="P324" s="31">
        <v>29.8</v>
      </c>
      <c r="Q324" s="27">
        <v>5</v>
      </c>
      <c r="R324" s="57">
        <f>$F324*Q324</f>
        <v>156.47000000000003</v>
      </c>
      <c r="S324" s="34">
        <v>3</v>
      </c>
      <c r="T324" s="60">
        <f>$F324*S324</f>
        <v>93.882000000000005</v>
      </c>
      <c r="U324" s="35">
        <v>2</v>
      </c>
      <c r="V324" s="61">
        <f>$F324*U324</f>
        <v>62.588000000000008</v>
      </c>
      <c r="W324" s="45">
        <v>2</v>
      </c>
      <c r="X324" s="62">
        <f>$F324*W324</f>
        <v>62.588000000000008</v>
      </c>
      <c r="Y324" s="36">
        <v>5</v>
      </c>
      <c r="Z324" s="63">
        <f>$F324*Y324</f>
        <v>156.47000000000003</v>
      </c>
    </row>
    <row r="325" spans="1:28" x14ac:dyDescent="0.25">
      <c r="A325" s="234" t="s">
        <v>1744</v>
      </c>
      <c r="B325" s="118"/>
      <c r="C325" s="13" t="s">
        <v>205</v>
      </c>
      <c r="D325" s="241" t="s">
        <v>1</v>
      </c>
      <c r="E325" s="153">
        <f t="shared" ref="E325:E388" si="39">Q325+S325+U325+W325+Y325</f>
        <v>760</v>
      </c>
      <c r="F325" s="348">
        <f t="shared" si="38"/>
        <v>0.122225</v>
      </c>
      <c r="G325" s="410">
        <f t="shared" ref="G325:G388" si="40">R325+T325+V325+X325+Z325</f>
        <v>92.890999999999991</v>
      </c>
      <c r="H325" s="152"/>
      <c r="I325" s="244">
        <v>0.1</v>
      </c>
      <c r="J325" s="31"/>
      <c r="K325" s="31">
        <v>0.18</v>
      </c>
      <c r="L325" s="31">
        <f>67.9/1000</f>
        <v>6.7900000000000002E-2</v>
      </c>
      <c r="M325" s="31">
        <f>12.1/100</f>
        <v>0.121</v>
      </c>
      <c r="N325" s="31"/>
      <c r="O325" s="31"/>
      <c r="P325" s="31">
        <v>0.12</v>
      </c>
      <c r="Q325" s="27">
        <v>10</v>
      </c>
      <c r="R325" s="57">
        <f>$F325*Q325</f>
        <v>1.2222500000000001</v>
      </c>
      <c r="S325" s="34">
        <v>500</v>
      </c>
      <c r="T325" s="60">
        <f>$F325*S325</f>
        <v>61.112499999999997</v>
      </c>
      <c r="U325" s="35">
        <v>100</v>
      </c>
      <c r="V325" s="61">
        <f>$F325*U325</f>
        <v>12.2225</v>
      </c>
      <c r="W325" s="45">
        <v>100</v>
      </c>
      <c r="X325" s="62">
        <f>$F325*W325</f>
        <v>12.2225</v>
      </c>
      <c r="Y325" s="36">
        <v>50</v>
      </c>
      <c r="Z325" s="63">
        <f>$F325*Y325</f>
        <v>6.1112500000000001</v>
      </c>
    </row>
    <row r="326" spans="1:28" x14ac:dyDescent="0.25">
      <c r="A326" s="234" t="s">
        <v>1745</v>
      </c>
      <c r="B326" s="234"/>
      <c r="C326" s="13" t="s">
        <v>111</v>
      </c>
      <c r="D326" s="241" t="s">
        <v>1</v>
      </c>
      <c r="E326" s="153">
        <f t="shared" si="39"/>
        <v>760</v>
      </c>
      <c r="F326" s="348">
        <f t="shared" si="38"/>
        <v>0.32329999999999998</v>
      </c>
      <c r="G326" s="410">
        <f t="shared" si="40"/>
        <v>245.70799999999994</v>
      </c>
      <c r="H326" s="152"/>
      <c r="I326" s="244">
        <v>0.65</v>
      </c>
      <c r="J326" s="31"/>
      <c r="K326" s="31">
        <v>0.72</v>
      </c>
      <c r="L326" s="31">
        <f>109.9/1000</f>
        <v>0.10990000000000001</v>
      </c>
      <c r="M326" s="31"/>
      <c r="N326" s="31"/>
      <c r="O326" s="31"/>
      <c r="P326" s="31">
        <v>0.14000000000000001</v>
      </c>
      <c r="Q326" s="27">
        <v>10</v>
      </c>
      <c r="R326" s="57">
        <f>$F326*Q326</f>
        <v>3.2329999999999997</v>
      </c>
      <c r="S326" s="34">
        <v>500</v>
      </c>
      <c r="T326" s="60">
        <f>$F326*S326</f>
        <v>161.64999999999998</v>
      </c>
      <c r="U326" s="35">
        <v>100</v>
      </c>
      <c r="V326" s="61">
        <f>$F326*U326</f>
        <v>32.33</v>
      </c>
      <c r="W326" s="45">
        <v>100</v>
      </c>
      <c r="X326" s="62">
        <f>$F326*W326</f>
        <v>32.33</v>
      </c>
      <c r="Y326" s="36">
        <v>50</v>
      </c>
      <c r="Z326" s="63">
        <f>$F326*Y326</f>
        <v>16.164999999999999</v>
      </c>
    </row>
    <row r="327" spans="1:28" x14ac:dyDescent="0.25">
      <c r="A327" s="234" t="s">
        <v>1746</v>
      </c>
      <c r="B327" s="118"/>
      <c r="C327" s="13" t="s">
        <v>112</v>
      </c>
      <c r="D327" s="241" t="s">
        <v>1</v>
      </c>
      <c r="E327" s="153">
        <f t="shared" si="39"/>
        <v>710</v>
      </c>
      <c r="F327" s="348">
        <f t="shared" si="38"/>
        <v>0.46600000000000003</v>
      </c>
      <c r="G327" s="410">
        <f t="shared" si="40"/>
        <v>330.86</v>
      </c>
      <c r="H327" s="152"/>
      <c r="I327" s="244">
        <f>7.11/50</f>
        <v>0.14219999999999999</v>
      </c>
      <c r="J327" s="31"/>
      <c r="K327" s="31">
        <v>1.2</v>
      </c>
      <c r="L327" s="31">
        <f>4.9/50</f>
        <v>9.8000000000000004E-2</v>
      </c>
      <c r="M327" s="31"/>
      <c r="N327" s="31"/>
      <c r="O327" s="31"/>
      <c r="P327" s="31">
        <v>0.1</v>
      </c>
      <c r="Q327" s="27">
        <v>10</v>
      </c>
      <c r="R327" s="57">
        <f>$F327*Q327</f>
        <v>4.66</v>
      </c>
      <c r="S327" s="34">
        <v>500</v>
      </c>
      <c r="T327" s="60">
        <f>$F327*S327</f>
        <v>233</v>
      </c>
      <c r="U327" s="35">
        <v>100</v>
      </c>
      <c r="V327" s="61">
        <f>$F327*U327</f>
        <v>46.6</v>
      </c>
      <c r="W327" s="45">
        <v>50</v>
      </c>
      <c r="X327" s="62">
        <f>$F327*W327</f>
        <v>23.3</v>
      </c>
      <c r="Y327" s="36">
        <v>50</v>
      </c>
      <c r="Z327" s="63">
        <f>$F327*Y327</f>
        <v>23.3</v>
      </c>
    </row>
    <row r="328" spans="1:28" x14ac:dyDescent="0.25">
      <c r="A328" s="234" t="s">
        <v>1747</v>
      </c>
      <c r="B328" s="142">
        <v>38379</v>
      </c>
      <c r="C328" s="143" t="s">
        <v>960</v>
      </c>
      <c r="D328" s="142" t="s">
        <v>237</v>
      </c>
      <c r="E328" s="153">
        <f t="shared" si="39"/>
        <v>0</v>
      </c>
      <c r="F328" s="348">
        <f t="shared" si="38"/>
        <v>31.87</v>
      </c>
      <c r="G328" s="410">
        <f t="shared" si="40"/>
        <v>0</v>
      </c>
      <c r="H328" s="8" t="s">
        <v>175</v>
      </c>
      <c r="I328" s="142"/>
      <c r="J328" s="144">
        <v>31.87</v>
      </c>
      <c r="K328" s="142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</row>
    <row r="329" spans="1:28" x14ac:dyDescent="0.25">
      <c r="A329" s="234" t="s">
        <v>1748</v>
      </c>
      <c r="B329" s="118"/>
      <c r="C329" s="236" t="s">
        <v>113</v>
      </c>
      <c r="D329" s="118" t="s">
        <v>1</v>
      </c>
      <c r="E329" s="153">
        <f t="shared" si="39"/>
        <v>265</v>
      </c>
      <c r="F329" s="348">
        <f t="shared" si="38"/>
        <v>4.82</v>
      </c>
      <c r="G329" s="410">
        <f t="shared" si="40"/>
        <v>1277.3000000000002</v>
      </c>
      <c r="H329" s="152"/>
      <c r="I329" s="244">
        <v>4.3499999999999996</v>
      </c>
      <c r="J329" s="31">
        <v>2.54</v>
      </c>
      <c r="K329" s="31">
        <v>4.68</v>
      </c>
      <c r="L329" s="31">
        <v>4.99</v>
      </c>
      <c r="M329" s="31">
        <v>7.2</v>
      </c>
      <c r="N329" s="31"/>
      <c r="O329" s="31">
        <v>6.01</v>
      </c>
      <c r="P329" s="31">
        <v>3.5</v>
      </c>
      <c r="Q329" s="27">
        <v>10</v>
      </c>
      <c r="R329" s="57">
        <f>$F329*Q329</f>
        <v>48.2</v>
      </c>
      <c r="S329" s="34">
        <v>100</v>
      </c>
      <c r="T329" s="60">
        <f>$F329*S329</f>
        <v>482</v>
      </c>
      <c r="U329" s="35">
        <v>5</v>
      </c>
      <c r="V329" s="61">
        <f>$F329*U329</f>
        <v>24.1</v>
      </c>
      <c r="W329" s="45">
        <v>100</v>
      </c>
      <c r="X329" s="62">
        <f>$F329*W329</f>
        <v>482</v>
      </c>
      <c r="Y329" s="36">
        <v>50</v>
      </c>
      <c r="Z329" s="63">
        <f>$F329*Y329</f>
        <v>241</v>
      </c>
    </row>
    <row r="330" spans="1:28" x14ac:dyDescent="0.25">
      <c r="A330" s="234" t="s">
        <v>1749</v>
      </c>
      <c r="B330" s="118"/>
      <c r="C330" s="14" t="s">
        <v>114</v>
      </c>
      <c r="D330" s="118" t="s">
        <v>1</v>
      </c>
      <c r="E330" s="153">
        <f t="shared" si="39"/>
        <v>30</v>
      </c>
      <c r="F330" s="348">
        <f t="shared" si="38"/>
        <v>63.166666666666664</v>
      </c>
      <c r="G330" s="410">
        <f t="shared" si="40"/>
        <v>1894.9999999999998</v>
      </c>
      <c r="H330" s="152"/>
      <c r="I330" s="244">
        <v>63.73</v>
      </c>
      <c r="J330" s="31"/>
      <c r="K330" s="31">
        <v>58.6</v>
      </c>
      <c r="L330" s="31">
        <v>54.9</v>
      </c>
      <c r="M330" s="31"/>
      <c r="N330" s="31"/>
      <c r="O330" s="31"/>
      <c r="P330" s="31">
        <v>76</v>
      </c>
      <c r="Q330" s="27">
        <v>5</v>
      </c>
      <c r="R330" s="57">
        <f>$F330*Q330</f>
        <v>315.83333333333331</v>
      </c>
      <c r="S330" s="34">
        <v>5</v>
      </c>
      <c r="T330" s="60">
        <f>$F330*S330</f>
        <v>315.83333333333331</v>
      </c>
      <c r="U330" s="35">
        <v>5</v>
      </c>
      <c r="V330" s="61">
        <f>$F330*U330</f>
        <v>315.83333333333331</v>
      </c>
      <c r="W330" s="45">
        <v>10</v>
      </c>
      <c r="X330" s="62">
        <f>$F330*W330</f>
        <v>631.66666666666663</v>
      </c>
      <c r="Y330" s="36">
        <v>5</v>
      </c>
      <c r="Z330" s="63">
        <f>$F330*Y330</f>
        <v>315.83333333333331</v>
      </c>
    </row>
    <row r="331" spans="1:28" ht="30" x14ac:dyDescent="0.25">
      <c r="A331" s="234" t="s">
        <v>1750</v>
      </c>
      <c r="B331" s="142">
        <v>36250</v>
      </c>
      <c r="C331" s="143" t="s">
        <v>1010</v>
      </c>
      <c r="D331" s="142" t="s">
        <v>237</v>
      </c>
      <c r="E331" s="153">
        <f t="shared" si="39"/>
        <v>0</v>
      </c>
      <c r="F331" s="348">
        <f t="shared" si="38"/>
        <v>2.89</v>
      </c>
      <c r="G331" s="410">
        <f t="shared" si="40"/>
        <v>0</v>
      </c>
      <c r="H331" s="8" t="s">
        <v>175</v>
      </c>
      <c r="I331" s="142"/>
      <c r="J331" s="144">
        <v>2.89</v>
      </c>
      <c r="K331" s="142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</row>
    <row r="332" spans="1:28" x14ac:dyDescent="0.25">
      <c r="A332" s="234" t="s">
        <v>1751</v>
      </c>
      <c r="B332" s="142">
        <v>4804</v>
      </c>
      <c r="C332" s="143" t="s">
        <v>1069</v>
      </c>
      <c r="D332" s="142" t="s">
        <v>237</v>
      </c>
      <c r="E332" s="153">
        <f t="shared" si="39"/>
        <v>0</v>
      </c>
      <c r="F332" s="348">
        <f t="shared" si="38"/>
        <v>15.44</v>
      </c>
      <c r="G332" s="410">
        <f t="shared" si="40"/>
        <v>0</v>
      </c>
      <c r="H332" s="8" t="s">
        <v>175</v>
      </c>
      <c r="I332" s="142"/>
      <c r="J332" s="144">
        <v>15.44</v>
      </c>
      <c r="K332" s="142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</row>
    <row r="333" spans="1:28" ht="30" x14ac:dyDescent="0.25">
      <c r="A333" s="234" t="s">
        <v>1752</v>
      </c>
      <c r="B333" s="142">
        <v>20256</v>
      </c>
      <c r="C333" s="143" t="s">
        <v>797</v>
      </c>
      <c r="D333" s="142" t="s">
        <v>229</v>
      </c>
      <c r="E333" s="153">
        <f t="shared" si="39"/>
        <v>0</v>
      </c>
      <c r="F333" s="348">
        <f t="shared" si="38"/>
        <v>0.36</v>
      </c>
      <c r="G333" s="410">
        <f t="shared" si="40"/>
        <v>0</v>
      </c>
      <c r="H333" s="8" t="s">
        <v>175</v>
      </c>
      <c r="I333" s="142"/>
      <c r="J333" s="144">
        <v>0.36</v>
      </c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</row>
    <row r="334" spans="1:28" ht="45" x14ac:dyDescent="0.25">
      <c r="A334" s="234" t="s">
        <v>1753</v>
      </c>
      <c r="B334">
        <v>11578</v>
      </c>
      <c r="C334" s="121" t="s">
        <v>888</v>
      </c>
      <c r="D334" t="s">
        <v>229</v>
      </c>
      <c r="E334" s="153">
        <f t="shared" si="39"/>
        <v>0</v>
      </c>
      <c r="F334" s="348">
        <f t="shared" si="38"/>
        <v>9.77</v>
      </c>
      <c r="G334" s="410">
        <f t="shared" si="40"/>
        <v>0</v>
      </c>
      <c r="H334" s="6" t="s">
        <v>175</v>
      </c>
      <c r="I334"/>
      <c r="J334" s="122">
        <v>9.77</v>
      </c>
      <c r="K334"/>
      <c r="L334"/>
      <c r="M334"/>
      <c r="N334"/>
      <c r="O334"/>
      <c r="P334"/>
      <c r="R334"/>
      <c r="T334"/>
      <c r="V334"/>
      <c r="X334"/>
      <c r="Z334"/>
    </row>
    <row r="335" spans="1:28" ht="30" x14ac:dyDescent="0.25">
      <c r="A335" s="234" t="s">
        <v>1754</v>
      </c>
      <c r="B335">
        <v>20214</v>
      </c>
      <c r="C335" s="121" t="s">
        <v>911</v>
      </c>
      <c r="D335" t="s">
        <v>229</v>
      </c>
      <c r="E335" s="153">
        <f t="shared" si="39"/>
        <v>0</v>
      </c>
      <c r="F335" s="348">
        <f t="shared" si="38"/>
        <v>28.42</v>
      </c>
      <c r="G335" s="410">
        <f t="shared" si="40"/>
        <v>0</v>
      </c>
      <c r="H335" s="6" t="s">
        <v>175</v>
      </c>
      <c r="I335"/>
      <c r="J335" s="122">
        <v>28.42</v>
      </c>
      <c r="K335"/>
      <c r="L335"/>
      <c r="M335"/>
      <c r="N335"/>
      <c r="O335"/>
      <c r="P335"/>
      <c r="R335"/>
      <c r="T335"/>
      <c r="V335"/>
      <c r="X335"/>
      <c r="Z335"/>
    </row>
    <row r="336" spans="1:28" ht="30" x14ac:dyDescent="0.25">
      <c r="A336" s="234" t="s">
        <v>1755</v>
      </c>
      <c r="B336" s="142">
        <v>11064</v>
      </c>
      <c r="C336" s="143" t="s">
        <v>912</v>
      </c>
      <c r="D336" s="142" t="s">
        <v>229</v>
      </c>
      <c r="E336" s="153">
        <f t="shared" si="39"/>
        <v>0</v>
      </c>
      <c r="F336" s="348">
        <f t="shared" si="38"/>
        <v>12.05</v>
      </c>
      <c r="G336" s="410">
        <f t="shared" si="40"/>
        <v>0</v>
      </c>
      <c r="H336" s="8" t="s">
        <v>175</v>
      </c>
      <c r="I336" s="142"/>
      <c r="J336" s="144">
        <v>12.05</v>
      </c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</row>
    <row r="337" spans="1:26" ht="30" x14ac:dyDescent="0.25">
      <c r="A337" s="234" t="s">
        <v>1756</v>
      </c>
      <c r="B337" s="142">
        <v>7237</v>
      </c>
      <c r="C337" s="143" t="s">
        <v>913</v>
      </c>
      <c r="D337" s="142" t="s">
        <v>229</v>
      </c>
      <c r="E337" s="153">
        <f t="shared" si="39"/>
        <v>0</v>
      </c>
      <c r="F337" s="348">
        <f t="shared" si="38"/>
        <v>16.440000000000001</v>
      </c>
      <c r="G337" s="410">
        <f t="shared" si="40"/>
        <v>0</v>
      </c>
      <c r="H337" s="8" t="s">
        <v>175</v>
      </c>
      <c r="I337" s="142"/>
      <c r="J337" s="144">
        <v>16.440000000000001</v>
      </c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</row>
    <row r="338" spans="1:26" x14ac:dyDescent="0.25">
      <c r="A338" s="234" t="s">
        <v>1757</v>
      </c>
      <c r="B338" s="118"/>
      <c r="C338" s="13" t="s">
        <v>115</v>
      </c>
      <c r="D338" s="234" t="s">
        <v>155</v>
      </c>
      <c r="E338" s="153">
        <f t="shared" si="39"/>
        <v>45</v>
      </c>
      <c r="F338" s="348">
        <f t="shared" si="38"/>
        <v>25.886666666666667</v>
      </c>
      <c r="G338" s="410">
        <f t="shared" si="40"/>
        <v>1164.9000000000001</v>
      </c>
      <c r="H338" s="152"/>
      <c r="I338" s="245">
        <v>21.05</v>
      </c>
      <c r="J338" s="246"/>
      <c r="K338" s="246">
        <v>10</v>
      </c>
      <c r="L338" s="246">
        <v>48.9</v>
      </c>
      <c r="M338" s="246"/>
      <c r="N338" s="246"/>
      <c r="O338" s="246"/>
      <c r="P338" s="246">
        <v>18.760000000000002</v>
      </c>
      <c r="Q338" s="41">
        <v>5</v>
      </c>
      <c r="R338" s="57">
        <f>$F338*Q338</f>
        <v>129.43333333333334</v>
      </c>
      <c r="S338" s="42">
        <v>20</v>
      </c>
      <c r="T338" s="60">
        <f>$F338*S338</f>
        <v>517.73333333333335</v>
      </c>
      <c r="U338" s="40">
        <v>10</v>
      </c>
      <c r="V338" s="61">
        <f>$F338*U338</f>
        <v>258.86666666666667</v>
      </c>
      <c r="W338" s="46">
        <v>5</v>
      </c>
      <c r="X338" s="62">
        <f>$F338*W338</f>
        <v>129.43333333333334</v>
      </c>
      <c r="Y338" s="49">
        <v>5</v>
      </c>
      <c r="Z338" s="63">
        <f>$F338*Y338</f>
        <v>129.43333333333334</v>
      </c>
    </row>
    <row r="339" spans="1:26" x14ac:dyDescent="0.25">
      <c r="A339" s="234" t="s">
        <v>1758</v>
      </c>
      <c r="B339" s="234"/>
      <c r="C339" s="14" t="s">
        <v>116</v>
      </c>
      <c r="D339" s="241" t="s">
        <v>155</v>
      </c>
      <c r="E339" s="153">
        <f t="shared" si="39"/>
        <v>20</v>
      </c>
      <c r="F339" s="348">
        <f t="shared" si="38"/>
        <v>83.127499999999998</v>
      </c>
      <c r="G339" s="410">
        <f t="shared" si="40"/>
        <v>1662.55</v>
      </c>
      <c r="H339" s="152"/>
      <c r="I339" s="244">
        <v>81.349999999999994</v>
      </c>
      <c r="J339" s="31"/>
      <c r="K339" s="31">
        <v>94.27</v>
      </c>
      <c r="L339" s="31">
        <v>89.9</v>
      </c>
      <c r="M339" s="31">
        <v>84.44</v>
      </c>
      <c r="N339" s="31">
        <v>63.9</v>
      </c>
      <c r="O339" s="31"/>
      <c r="P339" s="31"/>
      <c r="Q339" s="27">
        <v>5</v>
      </c>
      <c r="R339" s="57">
        <f>$F339*Q339</f>
        <v>415.63749999999999</v>
      </c>
      <c r="S339" s="34">
        <v>5</v>
      </c>
      <c r="T339" s="60">
        <f>$F339*S339</f>
        <v>415.63749999999999</v>
      </c>
      <c r="U339" s="35">
        <v>10</v>
      </c>
      <c r="V339" s="61">
        <f>$F339*U339</f>
        <v>831.27499999999998</v>
      </c>
      <c r="W339" s="45">
        <v>0</v>
      </c>
      <c r="X339" s="62">
        <f>$F339*W339</f>
        <v>0</v>
      </c>
      <c r="Y339" s="36">
        <v>0</v>
      </c>
      <c r="Z339" s="63">
        <f>$F339*Y339</f>
        <v>0</v>
      </c>
    </row>
    <row r="340" spans="1:26" ht="30" x14ac:dyDescent="0.25">
      <c r="A340" s="234" t="s">
        <v>1759</v>
      </c>
      <c r="B340" s="8">
        <v>12732</v>
      </c>
      <c r="C340" s="230" t="s">
        <v>723</v>
      </c>
      <c r="D340" s="8" t="s">
        <v>229</v>
      </c>
      <c r="E340" s="153">
        <f t="shared" si="39"/>
        <v>0</v>
      </c>
      <c r="F340" s="348">
        <f t="shared" si="38"/>
        <v>156.38</v>
      </c>
      <c r="G340" s="410">
        <f t="shared" si="40"/>
        <v>0</v>
      </c>
      <c r="H340" s="8" t="s">
        <v>175</v>
      </c>
      <c r="I340" s="8"/>
      <c r="J340" s="58">
        <v>156.38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30" x14ac:dyDescent="0.25">
      <c r="A341" s="234" t="s">
        <v>1760</v>
      </c>
      <c r="B341" s="142">
        <v>7576</v>
      </c>
      <c r="C341" s="143" t="s">
        <v>951</v>
      </c>
      <c r="D341" s="142" t="s">
        <v>229</v>
      </c>
      <c r="E341" s="153">
        <f t="shared" si="39"/>
        <v>0</v>
      </c>
      <c r="F341" s="348">
        <f t="shared" si="38"/>
        <v>145.44</v>
      </c>
      <c r="G341" s="410">
        <f t="shared" si="40"/>
        <v>0</v>
      </c>
      <c r="H341" s="8" t="s">
        <v>175</v>
      </c>
      <c r="I341" s="142"/>
      <c r="J341" s="144">
        <v>145.44</v>
      </c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</row>
    <row r="342" spans="1:26" ht="30" x14ac:dyDescent="0.25">
      <c r="A342" s="234" t="s">
        <v>1761</v>
      </c>
      <c r="B342" s="142">
        <v>11066</v>
      </c>
      <c r="C342" s="143" t="s">
        <v>914</v>
      </c>
      <c r="D342" s="142" t="s">
        <v>229</v>
      </c>
      <c r="E342" s="153">
        <f t="shared" si="39"/>
        <v>0</v>
      </c>
      <c r="F342" s="348">
        <f t="shared" ref="F342:F406" si="41">IF(H342="SINAPI",J342,AVERAGE(J342:P342))</f>
        <v>10</v>
      </c>
      <c r="G342" s="410">
        <f t="shared" si="40"/>
        <v>0</v>
      </c>
      <c r="H342" s="8" t="s">
        <v>175</v>
      </c>
      <c r="I342" s="142"/>
      <c r="J342" s="144">
        <v>10</v>
      </c>
      <c r="K342" s="142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</row>
    <row r="343" spans="1:26" ht="30" x14ac:dyDescent="0.25">
      <c r="A343" s="234" t="s">
        <v>1762</v>
      </c>
      <c r="B343" s="142">
        <v>11065</v>
      </c>
      <c r="C343" s="143" t="s">
        <v>915</v>
      </c>
      <c r="D343" s="142" t="s">
        <v>229</v>
      </c>
      <c r="E343" s="153">
        <f t="shared" si="39"/>
        <v>0</v>
      </c>
      <c r="F343" s="348">
        <f t="shared" si="41"/>
        <v>11.46</v>
      </c>
      <c r="G343" s="410">
        <f t="shared" si="40"/>
        <v>0</v>
      </c>
      <c r="H343" s="8" t="s">
        <v>175</v>
      </c>
      <c r="I343" s="142"/>
      <c r="J343" s="144">
        <v>11.46</v>
      </c>
      <c r="K343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</row>
    <row r="344" spans="1:26" x14ac:dyDescent="0.25">
      <c r="A344" s="234" t="s">
        <v>1763</v>
      </c>
      <c r="B344" s="118"/>
      <c r="C344" s="13" t="s">
        <v>117</v>
      </c>
      <c r="D344" s="241" t="s">
        <v>83</v>
      </c>
      <c r="E344" s="153">
        <f t="shared" si="39"/>
        <v>255</v>
      </c>
      <c r="F344" s="348">
        <f t="shared" si="41"/>
        <v>19.247499999999999</v>
      </c>
      <c r="G344" s="410">
        <f t="shared" si="40"/>
        <v>4908.1124999999993</v>
      </c>
      <c r="H344" s="152"/>
      <c r="I344" s="244">
        <v>46.88</v>
      </c>
      <c r="J344" s="31"/>
      <c r="K344" s="31">
        <v>20.23</v>
      </c>
      <c r="L344" s="31"/>
      <c r="M344" s="31"/>
      <c r="N344" s="31">
        <f>414/20</f>
        <v>20.7</v>
      </c>
      <c r="O344" s="31">
        <f>639/25</f>
        <v>25.56</v>
      </c>
      <c r="P344" s="31">
        <v>10.5</v>
      </c>
      <c r="Q344" s="27">
        <v>50</v>
      </c>
      <c r="R344" s="57">
        <f>$F344*Q344</f>
        <v>962.37499999999989</v>
      </c>
      <c r="S344" s="34">
        <v>100</v>
      </c>
      <c r="T344" s="60">
        <f>$F344*S344</f>
        <v>1924.7499999999998</v>
      </c>
      <c r="U344" s="35">
        <v>50</v>
      </c>
      <c r="V344" s="61">
        <f>$F344*U344</f>
        <v>962.37499999999989</v>
      </c>
      <c r="W344" s="45">
        <v>50</v>
      </c>
      <c r="X344" s="62">
        <f>$F344*W344</f>
        <v>962.37499999999989</v>
      </c>
      <c r="Y344" s="36">
        <v>5</v>
      </c>
      <c r="Z344" s="63">
        <f>$F344*Y344</f>
        <v>96.237499999999997</v>
      </c>
    </row>
    <row r="345" spans="1:26" x14ac:dyDescent="0.25">
      <c r="A345" s="234" t="s">
        <v>1764</v>
      </c>
      <c r="B345" s="118"/>
      <c r="C345" s="13" t="s">
        <v>118</v>
      </c>
      <c r="D345" s="241" t="s">
        <v>83</v>
      </c>
      <c r="E345" s="153">
        <f t="shared" si="39"/>
        <v>215</v>
      </c>
      <c r="F345" s="348">
        <f t="shared" si="41"/>
        <v>26.156666666666666</v>
      </c>
      <c r="G345" s="410">
        <f t="shared" si="40"/>
        <v>5623.6833333333334</v>
      </c>
      <c r="H345" s="152"/>
      <c r="I345" s="244">
        <v>63.75</v>
      </c>
      <c r="J345" s="31"/>
      <c r="K345" s="31">
        <v>40.17</v>
      </c>
      <c r="L345" s="31"/>
      <c r="M345" s="31"/>
      <c r="N345" s="31">
        <f>556/20</f>
        <v>27.8</v>
      </c>
      <c r="O345" s="31"/>
      <c r="P345" s="31">
        <v>10.5</v>
      </c>
      <c r="Q345" s="27">
        <v>50</v>
      </c>
      <c r="R345" s="57">
        <f>$F345*Q345</f>
        <v>1307.8333333333333</v>
      </c>
      <c r="S345" s="34">
        <v>100</v>
      </c>
      <c r="T345" s="60">
        <f>$F345*S345</f>
        <v>2615.6666666666665</v>
      </c>
      <c r="U345" s="35">
        <v>50</v>
      </c>
      <c r="V345" s="61">
        <f>$F345*U345</f>
        <v>1307.8333333333333</v>
      </c>
      <c r="W345" s="45">
        <v>10</v>
      </c>
      <c r="X345" s="62">
        <f>$F345*W345</f>
        <v>261.56666666666666</v>
      </c>
      <c r="Y345" s="36">
        <v>5</v>
      </c>
      <c r="Z345" s="63">
        <f>$F345*Y345</f>
        <v>130.78333333333333</v>
      </c>
    </row>
    <row r="346" spans="1:26" ht="45" x14ac:dyDescent="0.25">
      <c r="A346" s="234" t="s">
        <v>1765</v>
      </c>
      <c r="B346" s="8">
        <v>37712</v>
      </c>
      <c r="C346" s="230" t="s">
        <v>726</v>
      </c>
      <c r="D346" s="8" t="s">
        <v>572</v>
      </c>
      <c r="E346" s="153">
        <f t="shared" si="39"/>
        <v>0</v>
      </c>
      <c r="F346" s="348">
        <f t="shared" si="41"/>
        <v>61.49</v>
      </c>
      <c r="G346" s="410">
        <f t="shared" si="40"/>
        <v>0</v>
      </c>
      <c r="H346" s="8" t="s">
        <v>175</v>
      </c>
      <c r="I346" s="8"/>
      <c r="J346" s="58">
        <v>61.49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x14ac:dyDescent="0.25">
      <c r="A347" s="234" t="s">
        <v>1766</v>
      </c>
      <c r="B347" s="118"/>
      <c r="C347" s="236" t="s">
        <v>119</v>
      </c>
      <c r="D347" s="241" t="s">
        <v>83</v>
      </c>
      <c r="E347" s="153">
        <f t="shared" si="39"/>
        <v>400</v>
      </c>
      <c r="F347" s="348">
        <f t="shared" si="41"/>
        <v>32.5</v>
      </c>
      <c r="G347" s="410">
        <f t="shared" si="40"/>
        <v>13000</v>
      </c>
      <c r="H347" s="152"/>
      <c r="I347" s="243">
        <v>48.37</v>
      </c>
      <c r="J347" s="31"/>
      <c r="K347" s="31">
        <v>46</v>
      </c>
      <c r="L347" s="31"/>
      <c r="M347" s="31"/>
      <c r="N347" s="31">
        <f>475/25</f>
        <v>19</v>
      </c>
      <c r="O347" s="31"/>
      <c r="P347" s="31"/>
      <c r="Q347" s="27">
        <v>50</v>
      </c>
      <c r="R347" s="57">
        <f>$F347*Q347</f>
        <v>1625</v>
      </c>
      <c r="S347" s="34">
        <v>0</v>
      </c>
      <c r="T347" s="60">
        <f>$F347*S347</f>
        <v>0</v>
      </c>
      <c r="U347" s="35">
        <v>50</v>
      </c>
      <c r="V347" s="61">
        <f>$F347*U347</f>
        <v>1625</v>
      </c>
      <c r="W347" s="45">
        <v>200</v>
      </c>
      <c r="X347" s="62">
        <f>$F347*W347</f>
        <v>6500</v>
      </c>
      <c r="Y347" s="36">
        <v>100</v>
      </c>
      <c r="Z347" s="63">
        <f>$F347*Y347</f>
        <v>3250</v>
      </c>
    </row>
    <row r="348" spans="1:26" x14ac:dyDescent="0.25">
      <c r="A348" s="234" t="s">
        <v>1767</v>
      </c>
      <c r="B348" s="118"/>
      <c r="C348" s="13" t="s">
        <v>120</v>
      </c>
      <c r="D348" s="241" t="s">
        <v>83</v>
      </c>
      <c r="E348" s="153">
        <f t="shared" si="39"/>
        <v>300</v>
      </c>
      <c r="F348" s="348">
        <f t="shared" si="41"/>
        <v>46</v>
      </c>
      <c r="G348" s="410">
        <f t="shared" si="40"/>
        <v>13800</v>
      </c>
      <c r="H348" s="152"/>
      <c r="I348" s="243">
        <v>28.75</v>
      </c>
      <c r="J348" s="31"/>
      <c r="K348" s="31">
        <v>46</v>
      </c>
      <c r="L348" s="31"/>
      <c r="M348" s="31"/>
      <c r="N348" s="31"/>
      <c r="O348" s="31"/>
      <c r="P348" s="31"/>
      <c r="Q348" s="27">
        <v>50</v>
      </c>
      <c r="R348" s="57">
        <f>$F348*Q348</f>
        <v>2300</v>
      </c>
      <c r="S348" s="34">
        <v>0</v>
      </c>
      <c r="T348" s="60">
        <f>$F348*S348</f>
        <v>0</v>
      </c>
      <c r="U348" s="35">
        <v>50</v>
      </c>
      <c r="V348" s="61">
        <f>$F348*U348</f>
        <v>2300</v>
      </c>
      <c r="W348" s="45">
        <v>100</v>
      </c>
      <c r="X348" s="62">
        <f>$F348*W348</f>
        <v>4600</v>
      </c>
      <c r="Y348" s="36">
        <v>100</v>
      </c>
      <c r="Z348" s="63">
        <f>$F348*Y348</f>
        <v>4600</v>
      </c>
    </row>
    <row r="349" spans="1:26" x14ac:dyDescent="0.25">
      <c r="A349" s="234" t="s">
        <v>1768</v>
      </c>
      <c r="B349" s="234"/>
      <c r="C349" s="13" t="s">
        <v>121</v>
      </c>
      <c r="D349" s="241" t="s">
        <v>83</v>
      </c>
      <c r="E349" s="153">
        <f t="shared" si="39"/>
        <v>200</v>
      </c>
      <c r="F349" s="348">
        <f t="shared" si="41"/>
        <v>50.9</v>
      </c>
      <c r="G349" s="410">
        <f t="shared" si="40"/>
        <v>10180</v>
      </c>
      <c r="H349" s="152"/>
      <c r="I349" s="243">
        <v>31</v>
      </c>
      <c r="J349" s="31"/>
      <c r="K349" s="31">
        <v>50.9</v>
      </c>
      <c r="L349" s="31"/>
      <c r="M349" s="31"/>
      <c r="N349" s="31"/>
      <c r="O349" s="31"/>
      <c r="P349" s="31"/>
      <c r="Q349" s="27">
        <v>50</v>
      </c>
      <c r="R349" s="57">
        <f>$F349*Q349</f>
        <v>2545</v>
      </c>
      <c r="S349" s="34">
        <v>0</v>
      </c>
      <c r="T349" s="60">
        <f>$F349*S349</f>
        <v>0</v>
      </c>
      <c r="U349" s="35">
        <v>50</v>
      </c>
      <c r="V349" s="61">
        <f>$F349*U349</f>
        <v>2545</v>
      </c>
      <c r="W349" s="45">
        <v>0</v>
      </c>
      <c r="X349" s="62">
        <f>$F349*W349</f>
        <v>0</v>
      </c>
      <c r="Y349" s="36">
        <v>100</v>
      </c>
      <c r="Z349" s="63">
        <f>$F349*Y349</f>
        <v>5090</v>
      </c>
    </row>
    <row r="350" spans="1:26" ht="45" x14ac:dyDescent="0.25">
      <c r="A350" s="234" t="s">
        <v>1769</v>
      </c>
      <c r="B350" s="8">
        <v>34547</v>
      </c>
      <c r="C350" s="230" t="s">
        <v>729</v>
      </c>
      <c r="D350" s="8" t="s">
        <v>237</v>
      </c>
      <c r="E350" s="153">
        <f t="shared" si="39"/>
        <v>0</v>
      </c>
      <c r="F350" s="348">
        <f t="shared" si="41"/>
        <v>2.33</v>
      </c>
      <c r="G350" s="410">
        <f t="shared" si="40"/>
        <v>0</v>
      </c>
      <c r="H350" s="8" t="s">
        <v>175</v>
      </c>
      <c r="I350" s="8"/>
      <c r="J350" s="58">
        <v>2.33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45" x14ac:dyDescent="0.25">
      <c r="A351" s="234" t="s">
        <v>1770</v>
      </c>
      <c r="B351">
        <v>34548</v>
      </c>
      <c r="C351" s="143" t="s">
        <v>732</v>
      </c>
      <c r="D351" s="142" t="s">
        <v>237</v>
      </c>
      <c r="E351" s="153">
        <f t="shared" si="39"/>
        <v>0</v>
      </c>
      <c r="F351" s="348">
        <f t="shared" si="41"/>
        <v>3.83</v>
      </c>
      <c r="G351" s="410">
        <f t="shared" si="40"/>
        <v>0</v>
      </c>
      <c r="H351" s="8" t="s">
        <v>175</v>
      </c>
      <c r="I351" s="142"/>
      <c r="J351" s="144">
        <v>3.83</v>
      </c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</row>
    <row r="352" spans="1:26" ht="30" x14ac:dyDescent="0.25">
      <c r="A352" s="234" t="s">
        <v>1771</v>
      </c>
      <c r="B352" s="8">
        <v>37411</v>
      </c>
      <c r="C352" s="230" t="s">
        <v>744</v>
      </c>
      <c r="D352" s="8" t="s">
        <v>572</v>
      </c>
      <c r="E352" s="153">
        <f t="shared" si="39"/>
        <v>0</v>
      </c>
      <c r="F352" s="348">
        <f t="shared" si="41"/>
        <v>10.82</v>
      </c>
      <c r="G352" s="410">
        <f t="shared" si="40"/>
        <v>0</v>
      </c>
      <c r="H352" s="8" t="s">
        <v>175</v>
      </c>
      <c r="I352" s="8"/>
      <c r="J352" s="58">
        <v>10.82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45" x14ac:dyDescent="0.25">
      <c r="A353" s="234" t="s">
        <v>1772</v>
      </c>
      <c r="B353" s="142">
        <v>34558</v>
      </c>
      <c r="C353" s="143" t="s">
        <v>735</v>
      </c>
      <c r="D353" s="142" t="s">
        <v>237</v>
      </c>
      <c r="E353" s="153">
        <f t="shared" si="39"/>
        <v>0</v>
      </c>
      <c r="F353" s="348">
        <f t="shared" si="41"/>
        <v>1.9</v>
      </c>
      <c r="G353" s="410">
        <f t="shared" si="40"/>
        <v>0</v>
      </c>
      <c r="H353" s="8" t="s">
        <v>175</v>
      </c>
      <c r="I353" s="142"/>
      <c r="J353" s="144">
        <v>1.9</v>
      </c>
      <c r="K353" s="142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</row>
    <row r="354" spans="1:26" ht="45" x14ac:dyDescent="0.25">
      <c r="A354" s="234" t="s">
        <v>1773</v>
      </c>
      <c r="B354" s="8">
        <v>34550</v>
      </c>
      <c r="C354" s="230" t="s">
        <v>738</v>
      </c>
      <c r="D354" s="8" t="s">
        <v>237</v>
      </c>
      <c r="E354" s="153">
        <f t="shared" si="39"/>
        <v>0</v>
      </c>
      <c r="F354" s="348">
        <f t="shared" si="41"/>
        <v>1.01</v>
      </c>
      <c r="G354" s="410">
        <f t="shared" si="40"/>
        <v>0</v>
      </c>
      <c r="H354" s="8" t="s">
        <v>175</v>
      </c>
      <c r="I354" s="8"/>
      <c r="J354" s="58">
        <v>1.01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45" x14ac:dyDescent="0.25">
      <c r="A355" s="234" t="s">
        <v>1774</v>
      </c>
      <c r="B355" s="142">
        <v>34557</v>
      </c>
      <c r="C355" s="143" t="s">
        <v>741</v>
      </c>
      <c r="D355" s="142" t="s">
        <v>237</v>
      </c>
      <c r="E355" s="153">
        <f t="shared" si="39"/>
        <v>0</v>
      </c>
      <c r="F355" s="348">
        <f t="shared" si="41"/>
        <v>1.48</v>
      </c>
      <c r="G355" s="410">
        <f t="shared" si="40"/>
        <v>0</v>
      </c>
      <c r="H355" s="8" t="s">
        <v>175</v>
      </c>
      <c r="I355" s="142"/>
      <c r="J355" s="144">
        <v>1.48</v>
      </c>
      <c r="K355" s="142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</row>
    <row r="356" spans="1:26" ht="45" x14ac:dyDescent="0.25">
      <c r="A356" s="234" t="s">
        <v>1775</v>
      </c>
      <c r="B356" s="8">
        <v>39508</v>
      </c>
      <c r="C356" s="230" t="s">
        <v>747</v>
      </c>
      <c r="D356" s="8" t="s">
        <v>572</v>
      </c>
      <c r="E356" s="153">
        <f t="shared" si="39"/>
        <v>0</v>
      </c>
      <c r="F356" s="348">
        <f t="shared" si="41"/>
        <v>6.08</v>
      </c>
      <c r="G356" s="410">
        <f t="shared" si="40"/>
        <v>0</v>
      </c>
      <c r="H356" s="8" t="s">
        <v>175</v>
      </c>
      <c r="I356" s="8"/>
      <c r="J356" s="58">
        <v>6.08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30" x14ac:dyDescent="0.25">
      <c r="A357" s="234" t="s">
        <v>1776</v>
      </c>
      <c r="B357" s="142">
        <v>10928</v>
      </c>
      <c r="C357" s="143" t="s">
        <v>753</v>
      </c>
      <c r="D357" s="142" t="s">
        <v>572</v>
      </c>
      <c r="E357" s="153">
        <f t="shared" si="39"/>
        <v>0</v>
      </c>
      <c r="F357" s="348">
        <f t="shared" si="41"/>
        <v>8.99</v>
      </c>
      <c r="G357" s="410">
        <f t="shared" si="40"/>
        <v>0</v>
      </c>
      <c r="H357" s="8" t="s">
        <v>175</v>
      </c>
      <c r="I357" s="142"/>
      <c r="J357" s="144">
        <v>8.99</v>
      </c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</row>
    <row r="358" spans="1:26" ht="30" x14ac:dyDescent="0.25">
      <c r="A358" s="234" t="s">
        <v>1777</v>
      </c>
      <c r="B358" s="8">
        <v>7167</v>
      </c>
      <c r="C358" s="230" t="s">
        <v>750</v>
      </c>
      <c r="D358" s="8" t="s">
        <v>572</v>
      </c>
      <c r="E358" s="153">
        <f t="shared" si="39"/>
        <v>0</v>
      </c>
      <c r="F358" s="348">
        <f t="shared" si="41"/>
        <v>15.64</v>
      </c>
      <c r="G358" s="410">
        <f t="shared" si="40"/>
        <v>0</v>
      </c>
      <c r="H358" s="8" t="s">
        <v>175</v>
      </c>
      <c r="I358" s="8"/>
      <c r="J358" s="58">
        <v>15.64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30" x14ac:dyDescent="0.25">
      <c r="A359" s="234" t="s">
        <v>1778</v>
      </c>
      <c r="B359" s="8">
        <v>10933</v>
      </c>
      <c r="C359" s="230" t="s">
        <v>756</v>
      </c>
      <c r="D359" s="8" t="s">
        <v>572</v>
      </c>
      <c r="E359" s="153">
        <f t="shared" si="39"/>
        <v>0</v>
      </c>
      <c r="F359" s="348">
        <f t="shared" si="41"/>
        <v>13.56</v>
      </c>
      <c r="G359" s="410">
        <f t="shared" si="40"/>
        <v>0</v>
      </c>
      <c r="H359" s="8" t="s">
        <v>175</v>
      </c>
      <c r="I359" s="8"/>
      <c r="J359" s="58">
        <v>13.56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30" x14ac:dyDescent="0.25">
      <c r="A360" s="234" t="s">
        <v>1779</v>
      </c>
      <c r="B360" s="8">
        <v>10927</v>
      </c>
      <c r="C360" s="230" t="s">
        <v>762</v>
      </c>
      <c r="D360" s="8" t="s">
        <v>572</v>
      </c>
      <c r="E360" s="153">
        <f t="shared" si="39"/>
        <v>0</v>
      </c>
      <c r="F360" s="348">
        <f t="shared" si="41"/>
        <v>14.71</v>
      </c>
      <c r="G360" s="410">
        <f t="shared" si="40"/>
        <v>0</v>
      </c>
      <c r="H360" s="8" t="s">
        <v>175</v>
      </c>
      <c r="I360" s="8"/>
      <c r="J360" s="58">
        <v>14.71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30" x14ac:dyDescent="0.25">
      <c r="A361" s="234" t="s">
        <v>1780</v>
      </c>
      <c r="B361" s="142">
        <v>7158</v>
      </c>
      <c r="C361" s="143" t="s">
        <v>759</v>
      </c>
      <c r="D361" s="142" t="s">
        <v>572</v>
      </c>
      <c r="E361" s="153">
        <f t="shared" si="39"/>
        <v>0</v>
      </c>
      <c r="F361" s="348">
        <f t="shared" si="41"/>
        <v>23</v>
      </c>
      <c r="G361" s="410">
        <f t="shared" si="40"/>
        <v>0</v>
      </c>
      <c r="H361" s="8" t="s">
        <v>175</v>
      </c>
      <c r="I361" s="142"/>
      <c r="J361" s="144">
        <v>23</v>
      </c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</row>
    <row r="362" spans="1:26" ht="30" x14ac:dyDescent="0.25">
      <c r="A362" s="234" t="s">
        <v>1781</v>
      </c>
      <c r="B362" s="142">
        <v>7162</v>
      </c>
      <c r="C362" s="143" t="s">
        <v>765</v>
      </c>
      <c r="D362" s="142" t="s">
        <v>572</v>
      </c>
      <c r="E362" s="153">
        <f t="shared" si="39"/>
        <v>0</v>
      </c>
      <c r="F362" s="348">
        <f t="shared" si="41"/>
        <v>35.99</v>
      </c>
      <c r="G362" s="410">
        <f t="shared" si="40"/>
        <v>0</v>
      </c>
      <c r="H362" s="8" t="s">
        <v>175</v>
      </c>
      <c r="I362" s="142"/>
      <c r="J362" s="144">
        <v>35.99</v>
      </c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</row>
    <row r="363" spans="1:26" ht="30" x14ac:dyDescent="0.25">
      <c r="A363" s="234" t="s">
        <v>1782</v>
      </c>
      <c r="B363" s="142">
        <v>10932</v>
      </c>
      <c r="C363" s="143" t="s">
        <v>768</v>
      </c>
      <c r="D363" s="142" t="s">
        <v>572</v>
      </c>
      <c r="E363" s="153">
        <f t="shared" si="39"/>
        <v>0</v>
      </c>
      <c r="F363" s="348">
        <f t="shared" si="41"/>
        <v>62.6</v>
      </c>
      <c r="G363" s="410">
        <f t="shared" si="40"/>
        <v>0</v>
      </c>
      <c r="H363" s="8" t="s">
        <v>175</v>
      </c>
      <c r="I363" s="142"/>
      <c r="J363" s="144">
        <v>62.6</v>
      </c>
      <c r="K363" s="142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</row>
    <row r="364" spans="1:26" ht="45" x14ac:dyDescent="0.25">
      <c r="A364" s="234" t="s">
        <v>1783</v>
      </c>
      <c r="B364" s="142">
        <v>10937</v>
      </c>
      <c r="C364" s="143" t="s">
        <v>771</v>
      </c>
      <c r="D364" s="142" t="s">
        <v>572</v>
      </c>
      <c r="E364" s="153">
        <f t="shared" si="39"/>
        <v>0</v>
      </c>
      <c r="F364" s="348">
        <f t="shared" si="41"/>
        <v>16.09</v>
      </c>
      <c r="G364" s="410">
        <f t="shared" si="40"/>
        <v>0</v>
      </c>
      <c r="H364" s="8" t="s">
        <v>175</v>
      </c>
      <c r="I364" s="142"/>
      <c r="J364" s="144">
        <v>16.09</v>
      </c>
      <c r="K364" s="142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</row>
    <row r="365" spans="1:26" ht="45" x14ac:dyDescent="0.25">
      <c r="A365" s="234" t="s">
        <v>1784</v>
      </c>
      <c r="B365">
        <v>10935</v>
      </c>
      <c r="C365" s="121" t="s">
        <v>774</v>
      </c>
      <c r="D365" t="s">
        <v>572</v>
      </c>
      <c r="E365" s="153">
        <f t="shared" si="39"/>
        <v>0</v>
      </c>
      <c r="F365" s="348">
        <f t="shared" si="41"/>
        <v>27.9</v>
      </c>
      <c r="G365" s="410">
        <f t="shared" si="40"/>
        <v>0</v>
      </c>
      <c r="H365" s="6" t="s">
        <v>175</v>
      </c>
      <c r="I365"/>
      <c r="J365" s="122">
        <v>27.9</v>
      </c>
      <c r="K365"/>
      <c r="L365"/>
      <c r="M365"/>
      <c r="N365"/>
      <c r="O365"/>
      <c r="P365"/>
      <c r="R365"/>
      <c r="T365"/>
      <c r="V365"/>
      <c r="X365"/>
      <c r="Z365"/>
    </row>
    <row r="366" spans="1:26" ht="30" x14ac:dyDescent="0.25">
      <c r="A366" s="234" t="s">
        <v>1785</v>
      </c>
      <c r="B366" s="142">
        <v>10931</v>
      </c>
      <c r="C366" s="143" t="s">
        <v>775</v>
      </c>
      <c r="D366" s="142" t="s">
        <v>572</v>
      </c>
      <c r="E366" s="153">
        <f t="shared" si="39"/>
        <v>0</v>
      </c>
      <c r="F366" s="348">
        <f t="shared" si="41"/>
        <v>7.85</v>
      </c>
      <c r="G366" s="410">
        <f t="shared" si="40"/>
        <v>0</v>
      </c>
      <c r="H366" s="8" t="s">
        <v>175</v>
      </c>
      <c r="I366" s="142"/>
      <c r="J366" s="144">
        <v>7.85</v>
      </c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</row>
    <row r="367" spans="1:26" ht="30" x14ac:dyDescent="0.25">
      <c r="A367" s="234" t="s">
        <v>1786</v>
      </c>
      <c r="B367" s="142">
        <v>7164</v>
      </c>
      <c r="C367" s="143" t="s">
        <v>776</v>
      </c>
      <c r="D367" s="142" t="s">
        <v>572</v>
      </c>
      <c r="E367" s="153">
        <f t="shared" si="39"/>
        <v>0</v>
      </c>
      <c r="F367" s="348">
        <f t="shared" si="41"/>
        <v>25.97</v>
      </c>
      <c r="G367" s="410">
        <f t="shared" si="40"/>
        <v>0</v>
      </c>
      <c r="H367" s="8" t="s">
        <v>175</v>
      </c>
      <c r="I367" s="142"/>
      <c r="J367" s="144">
        <v>25.97</v>
      </c>
      <c r="K367" s="142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</row>
    <row r="368" spans="1:26" ht="30" x14ac:dyDescent="0.25">
      <c r="A368" s="234" t="s">
        <v>1787</v>
      </c>
      <c r="B368">
        <v>36789</v>
      </c>
      <c r="C368" s="121" t="s">
        <v>916</v>
      </c>
      <c r="D368" t="s">
        <v>229</v>
      </c>
      <c r="E368" s="153">
        <f t="shared" si="39"/>
        <v>0</v>
      </c>
      <c r="F368" s="348">
        <f t="shared" si="41"/>
        <v>3.4</v>
      </c>
      <c r="G368" s="410">
        <f t="shared" si="40"/>
        <v>0</v>
      </c>
      <c r="H368" s="6" t="s">
        <v>175</v>
      </c>
      <c r="I368"/>
      <c r="J368" s="122">
        <v>3.4</v>
      </c>
      <c r="K368"/>
      <c r="L368"/>
      <c r="M368"/>
      <c r="N368"/>
      <c r="O368"/>
      <c r="P368"/>
      <c r="R368"/>
      <c r="T368"/>
      <c r="V368"/>
      <c r="X368"/>
      <c r="Z368"/>
    </row>
    <row r="369" spans="1:28" ht="30" x14ac:dyDescent="0.25">
      <c r="A369" s="234" t="s">
        <v>1788</v>
      </c>
      <c r="B369" s="142">
        <v>25007</v>
      </c>
      <c r="C369" s="143" t="s">
        <v>941</v>
      </c>
      <c r="D369" s="142" t="s">
        <v>572</v>
      </c>
      <c r="E369" s="153">
        <f t="shared" si="39"/>
        <v>0</v>
      </c>
      <c r="F369" s="348">
        <f t="shared" si="41"/>
        <v>30</v>
      </c>
      <c r="G369" s="410">
        <f t="shared" si="40"/>
        <v>0</v>
      </c>
      <c r="H369" s="8" t="s">
        <v>175</v>
      </c>
      <c r="I369" s="142"/>
      <c r="J369" s="144">
        <v>30</v>
      </c>
      <c r="K369" s="142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</row>
    <row r="370" spans="1:28" ht="45" x14ac:dyDescent="0.25">
      <c r="A370" s="234" t="s">
        <v>1789</v>
      </c>
      <c r="B370" s="142">
        <v>7173</v>
      </c>
      <c r="C370" s="143" t="s">
        <v>917</v>
      </c>
      <c r="D370" s="142" t="s">
        <v>918</v>
      </c>
      <c r="E370" s="153">
        <f t="shared" si="39"/>
        <v>0</v>
      </c>
      <c r="F370" s="348">
        <f t="shared" si="41"/>
        <v>2200</v>
      </c>
      <c r="G370" s="410">
        <f t="shared" si="40"/>
        <v>0</v>
      </c>
      <c r="H370" s="8" t="s">
        <v>175</v>
      </c>
      <c r="I370" s="142"/>
      <c r="J370" s="144">
        <v>2200</v>
      </c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</row>
    <row r="371" spans="1:28" ht="45" x14ac:dyDescent="0.25">
      <c r="A371" s="234" t="s">
        <v>1790</v>
      </c>
      <c r="B371" s="142">
        <v>7175</v>
      </c>
      <c r="C371" s="143" t="s">
        <v>919</v>
      </c>
      <c r="D371" s="142" t="s">
        <v>229</v>
      </c>
      <c r="E371" s="153">
        <f t="shared" si="39"/>
        <v>0</v>
      </c>
      <c r="F371" s="348">
        <f t="shared" si="41"/>
        <v>2.48</v>
      </c>
      <c r="G371" s="410">
        <f t="shared" si="40"/>
        <v>0</v>
      </c>
      <c r="H371" s="8" t="s">
        <v>175</v>
      </c>
      <c r="I371" s="142"/>
      <c r="J371" s="144">
        <v>2.48</v>
      </c>
      <c r="K371" s="142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</row>
    <row r="372" spans="1:28" ht="45" x14ac:dyDescent="0.25">
      <c r="A372" s="234" t="s">
        <v>1791</v>
      </c>
      <c r="B372">
        <v>40865</v>
      </c>
      <c r="C372" s="121" t="s">
        <v>920</v>
      </c>
      <c r="D372" t="s">
        <v>229</v>
      </c>
      <c r="E372" s="153">
        <f t="shared" si="39"/>
        <v>0</v>
      </c>
      <c r="F372" s="348">
        <f t="shared" si="41"/>
        <v>2.0299999999999998</v>
      </c>
      <c r="G372" s="410">
        <f t="shared" si="40"/>
        <v>0</v>
      </c>
      <c r="H372" s="6" t="s">
        <v>175</v>
      </c>
      <c r="I372"/>
      <c r="J372" s="122">
        <v>2.0299999999999998</v>
      </c>
      <c r="K372"/>
      <c r="L372"/>
      <c r="M372"/>
      <c r="N372"/>
      <c r="O372"/>
      <c r="P372"/>
      <c r="R372"/>
      <c r="T372"/>
      <c r="V372"/>
      <c r="X372"/>
      <c r="Z372"/>
    </row>
    <row r="373" spans="1:28" ht="30" x14ac:dyDescent="0.25">
      <c r="A373" s="234" t="s">
        <v>1792</v>
      </c>
      <c r="B373" s="142">
        <v>7184</v>
      </c>
      <c r="C373" s="143" t="s">
        <v>921</v>
      </c>
      <c r="D373" s="142" t="s">
        <v>572</v>
      </c>
      <c r="E373" s="153">
        <f t="shared" si="39"/>
        <v>0</v>
      </c>
      <c r="F373" s="348">
        <f t="shared" si="41"/>
        <v>27.87</v>
      </c>
      <c r="G373" s="410">
        <f t="shared" si="40"/>
        <v>0</v>
      </c>
      <c r="H373" s="8" t="s">
        <v>175</v>
      </c>
      <c r="I373" s="142"/>
      <c r="J373" s="144">
        <v>27.87</v>
      </c>
      <c r="K373" s="142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</row>
    <row r="374" spans="1:28" x14ac:dyDescent="0.25">
      <c r="A374" s="234" t="s">
        <v>1793</v>
      </c>
      <c r="B374" s="118"/>
      <c r="C374" s="13" t="s">
        <v>122</v>
      </c>
      <c r="D374" s="118" t="s">
        <v>1</v>
      </c>
      <c r="E374" s="153">
        <f t="shared" si="39"/>
        <v>600</v>
      </c>
      <c r="F374" s="348">
        <f t="shared" si="41"/>
        <v>37.177500000000002</v>
      </c>
      <c r="G374" s="410">
        <f t="shared" si="40"/>
        <v>22306.5</v>
      </c>
      <c r="H374" s="152"/>
      <c r="I374" s="243">
        <v>46.02</v>
      </c>
      <c r="J374" s="31"/>
      <c r="K374" s="31">
        <v>42.31</v>
      </c>
      <c r="L374" s="31"/>
      <c r="M374" s="31">
        <v>31.9</v>
      </c>
      <c r="N374" s="31"/>
      <c r="O374" s="31">
        <v>29.9</v>
      </c>
      <c r="P374" s="31">
        <v>44.6</v>
      </c>
      <c r="Q374" s="27">
        <v>50</v>
      </c>
      <c r="R374" s="57">
        <f>$F374*Q374</f>
        <v>1858.875</v>
      </c>
      <c r="S374" s="34">
        <v>200</v>
      </c>
      <c r="T374" s="60">
        <f>$F374*S374</f>
        <v>7435.5</v>
      </c>
      <c r="U374" s="35">
        <v>50</v>
      </c>
      <c r="V374" s="61">
        <f>$F374*U374</f>
        <v>1858.875</v>
      </c>
      <c r="W374" s="45">
        <v>200</v>
      </c>
      <c r="X374" s="62">
        <f>$F374*W374</f>
        <v>7435.5</v>
      </c>
      <c r="Y374" s="36">
        <v>100</v>
      </c>
      <c r="Z374" s="63">
        <f>$F374*Y374</f>
        <v>3717.75</v>
      </c>
    </row>
    <row r="375" spans="1:28" x14ac:dyDescent="0.25">
      <c r="A375" s="234" t="s">
        <v>1794</v>
      </c>
      <c r="B375" s="118"/>
      <c r="C375" s="238" t="s">
        <v>195</v>
      </c>
      <c r="D375" s="241" t="s">
        <v>1</v>
      </c>
      <c r="E375" s="153">
        <f t="shared" si="39"/>
        <v>400</v>
      </c>
      <c r="F375" s="348">
        <f t="shared" si="41"/>
        <v>43.902499999999996</v>
      </c>
      <c r="G375" s="410">
        <f t="shared" si="40"/>
        <v>17561</v>
      </c>
      <c r="H375" s="152"/>
      <c r="I375" s="243">
        <v>59.87</v>
      </c>
      <c r="J375" s="31"/>
      <c r="K375" s="31">
        <v>46</v>
      </c>
      <c r="L375" s="31"/>
      <c r="M375" s="31">
        <v>37.11</v>
      </c>
      <c r="N375" s="31"/>
      <c r="O375" s="31">
        <v>47.9</v>
      </c>
      <c r="P375" s="31">
        <v>44.6</v>
      </c>
      <c r="Q375" s="27">
        <v>50</v>
      </c>
      <c r="R375" s="57">
        <f>$F375*Q375</f>
        <v>2195.125</v>
      </c>
      <c r="S375" s="34">
        <v>0</v>
      </c>
      <c r="T375" s="60">
        <f>$F375*S375</f>
        <v>0</v>
      </c>
      <c r="U375" s="35">
        <v>50</v>
      </c>
      <c r="V375" s="61">
        <f>$F375*U375</f>
        <v>2195.125</v>
      </c>
      <c r="W375" s="45">
        <v>200</v>
      </c>
      <c r="X375" s="62">
        <f>$F375*W375</f>
        <v>8780.5</v>
      </c>
      <c r="Y375" s="36">
        <v>100</v>
      </c>
      <c r="Z375" s="63">
        <f>$F375*Y375</f>
        <v>4390.25</v>
      </c>
    </row>
    <row r="376" spans="1:28" x14ac:dyDescent="0.25">
      <c r="A376" s="234" t="s">
        <v>1795</v>
      </c>
      <c r="B376" s="118"/>
      <c r="C376" s="238" t="s">
        <v>123</v>
      </c>
      <c r="D376" s="118" t="s">
        <v>1</v>
      </c>
      <c r="E376" s="153">
        <f t="shared" si="39"/>
        <v>450</v>
      </c>
      <c r="F376" s="348">
        <f t="shared" si="41"/>
        <v>43.625</v>
      </c>
      <c r="G376" s="410">
        <f t="shared" si="40"/>
        <v>19631.25</v>
      </c>
      <c r="H376" s="152"/>
      <c r="I376" s="243">
        <v>43.15</v>
      </c>
      <c r="J376" s="31">
        <v>37.700000000000003</v>
      </c>
      <c r="K376" s="31">
        <v>43.9</v>
      </c>
      <c r="L376" s="31"/>
      <c r="M376" s="31"/>
      <c r="N376" s="31"/>
      <c r="O376" s="31">
        <v>56.9</v>
      </c>
      <c r="P376" s="31">
        <v>36</v>
      </c>
      <c r="Q376" s="27">
        <v>50</v>
      </c>
      <c r="R376" s="57">
        <f>$F376*Q376</f>
        <v>2181.25</v>
      </c>
      <c r="S376" s="34">
        <v>100</v>
      </c>
      <c r="T376" s="60">
        <f>$F376*S376</f>
        <v>4362.5</v>
      </c>
      <c r="U376" s="35">
        <v>100</v>
      </c>
      <c r="V376" s="61">
        <f>$F376*U376</f>
        <v>4362.5</v>
      </c>
      <c r="W376" s="45">
        <v>100</v>
      </c>
      <c r="X376" s="62">
        <f>$F376*W376</f>
        <v>4362.5</v>
      </c>
      <c r="Y376" s="36">
        <v>100</v>
      </c>
      <c r="Z376" s="63">
        <f>$F376*Y376</f>
        <v>4362.5</v>
      </c>
    </row>
    <row r="377" spans="1:28" ht="30" x14ac:dyDescent="0.25">
      <c r="A377" s="234" t="s">
        <v>1796</v>
      </c>
      <c r="B377" s="142">
        <v>34458</v>
      </c>
      <c r="C377" s="143" t="s">
        <v>922</v>
      </c>
      <c r="D377" s="142" t="s">
        <v>229</v>
      </c>
      <c r="E377" s="153">
        <f t="shared" si="39"/>
        <v>0</v>
      </c>
      <c r="F377" s="348">
        <f t="shared" si="41"/>
        <v>96.55</v>
      </c>
      <c r="G377" s="410">
        <f t="shared" si="40"/>
        <v>0</v>
      </c>
      <c r="H377" s="8" t="s">
        <v>175</v>
      </c>
      <c r="I377" s="142"/>
      <c r="J377" s="144">
        <v>96.55</v>
      </c>
      <c r="K377" s="142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</row>
    <row r="378" spans="1:28" ht="30" x14ac:dyDescent="0.25">
      <c r="A378" s="234" t="s">
        <v>1797</v>
      </c>
      <c r="B378" s="142">
        <v>34464</v>
      </c>
      <c r="C378" s="143" t="s">
        <v>923</v>
      </c>
      <c r="D378" s="142" t="s">
        <v>229</v>
      </c>
      <c r="E378" s="153">
        <f t="shared" si="39"/>
        <v>0</v>
      </c>
      <c r="F378" s="348">
        <f t="shared" si="41"/>
        <v>129.54</v>
      </c>
      <c r="G378" s="410">
        <f t="shared" si="40"/>
        <v>0</v>
      </c>
      <c r="H378" s="8" t="s">
        <v>175</v>
      </c>
      <c r="I378" s="142"/>
      <c r="J378" s="144">
        <v>129.54</v>
      </c>
      <c r="K378" s="142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</row>
    <row r="379" spans="1:28" s="88" customFormat="1" ht="30" x14ac:dyDescent="0.25">
      <c r="A379" s="234" t="s">
        <v>1798</v>
      </c>
      <c r="B379" s="126">
        <v>34468</v>
      </c>
      <c r="C379" s="250" t="s">
        <v>924</v>
      </c>
      <c r="D379" s="126" t="s">
        <v>229</v>
      </c>
      <c r="E379" s="153">
        <f t="shared" si="39"/>
        <v>0</v>
      </c>
      <c r="F379" s="348">
        <f t="shared" si="41"/>
        <v>149.5</v>
      </c>
      <c r="G379" s="410">
        <f t="shared" si="40"/>
        <v>0</v>
      </c>
      <c r="H379" s="222" t="s">
        <v>175</v>
      </c>
      <c r="I379" s="125"/>
      <c r="J379" s="232">
        <v>149.5</v>
      </c>
      <c r="K379" s="126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  <c r="AA379" s="6"/>
      <c r="AB379" s="6"/>
    </row>
    <row r="380" spans="1:28" s="88" customFormat="1" ht="30" x14ac:dyDescent="0.25">
      <c r="A380" s="234" t="s">
        <v>1799</v>
      </c>
      <c r="B380" s="126">
        <v>34473</v>
      </c>
      <c r="C380" s="250" t="s">
        <v>925</v>
      </c>
      <c r="D380" s="126" t="s">
        <v>229</v>
      </c>
      <c r="E380" s="153">
        <f t="shared" si="39"/>
        <v>0</v>
      </c>
      <c r="F380" s="348">
        <f t="shared" si="41"/>
        <v>122.27</v>
      </c>
      <c r="G380" s="410">
        <f t="shared" si="40"/>
        <v>0</v>
      </c>
      <c r="H380" s="222" t="s">
        <v>175</v>
      </c>
      <c r="I380" s="125"/>
      <c r="J380" s="232">
        <v>122.27</v>
      </c>
      <c r="K380" s="126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  <c r="AA380" s="6"/>
      <c r="AB380" s="6"/>
    </row>
    <row r="381" spans="1:28" s="88" customFormat="1" ht="30" x14ac:dyDescent="0.25">
      <c r="A381" s="234" t="s">
        <v>1800</v>
      </c>
      <c r="B381" s="126">
        <v>34480</v>
      </c>
      <c r="C381" s="250" t="s">
        <v>926</v>
      </c>
      <c r="D381" s="126" t="s">
        <v>229</v>
      </c>
      <c r="E381" s="153">
        <f t="shared" si="39"/>
        <v>0</v>
      </c>
      <c r="F381" s="348">
        <f t="shared" si="41"/>
        <v>166.73</v>
      </c>
      <c r="G381" s="410">
        <f t="shared" si="40"/>
        <v>0</v>
      </c>
      <c r="H381" s="222" t="s">
        <v>175</v>
      </c>
      <c r="I381" s="125"/>
      <c r="J381" s="232">
        <v>166.73</v>
      </c>
      <c r="K381" s="126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  <c r="AA381" s="6"/>
      <c r="AB381" s="6"/>
    </row>
    <row r="382" spans="1:28" s="88" customFormat="1" ht="30" x14ac:dyDescent="0.25">
      <c r="A382" s="234" t="s">
        <v>1801</v>
      </c>
      <c r="B382" s="126">
        <v>34486</v>
      </c>
      <c r="C382" s="250" t="s">
        <v>927</v>
      </c>
      <c r="D382" s="126" t="s">
        <v>229</v>
      </c>
      <c r="E382" s="153">
        <f t="shared" si="39"/>
        <v>0</v>
      </c>
      <c r="F382" s="348">
        <f t="shared" si="41"/>
        <v>186.74</v>
      </c>
      <c r="G382" s="410">
        <f t="shared" si="40"/>
        <v>0</v>
      </c>
      <c r="H382" s="222" t="s">
        <v>175</v>
      </c>
      <c r="I382" s="125"/>
      <c r="J382" s="232">
        <v>186.74</v>
      </c>
      <c r="K382" s="126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  <c r="AA382" s="6"/>
      <c r="AB382" s="6"/>
    </row>
    <row r="383" spans="1:28" s="88" customFormat="1" ht="30" x14ac:dyDescent="0.25">
      <c r="A383" s="234" t="s">
        <v>1802</v>
      </c>
      <c r="B383" s="126">
        <v>7202</v>
      </c>
      <c r="C383" s="250" t="s">
        <v>928</v>
      </c>
      <c r="D383" s="126" t="s">
        <v>572</v>
      </c>
      <c r="E383" s="153">
        <f t="shared" si="39"/>
        <v>0</v>
      </c>
      <c r="F383" s="348">
        <f t="shared" si="41"/>
        <v>38.270000000000003</v>
      </c>
      <c r="G383" s="410">
        <f t="shared" si="40"/>
        <v>0</v>
      </c>
      <c r="H383" s="222" t="s">
        <v>175</v>
      </c>
      <c r="I383" s="125"/>
      <c r="J383" s="232">
        <v>38.270000000000003</v>
      </c>
      <c r="K383" s="126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6"/>
      <c r="AB383" s="6"/>
    </row>
    <row r="384" spans="1:28" s="88" customFormat="1" ht="30" x14ac:dyDescent="0.25">
      <c r="A384" s="234" t="s">
        <v>1803</v>
      </c>
      <c r="B384" s="126">
        <v>7195</v>
      </c>
      <c r="C384" s="250" t="s">
        <v>929</v>
      </c>
      <c r="D384" s="126" t="s">
        <v>229</v>
      </c>
      <c r="E384" s="153">
        <f t="shared" si="39"/>
        <v>0</v>
      </c>
      <c r="F384" s="348">
        <f t="shared" si="41"/>
        <v>31.51</v>
      </c>
      <c r="G384" s="410">
        <f t="shared" si="40"/>
        <v>0</v>
      </c>
      <c r="H384" s="222" t="s">
        <v>175</v>
      </c>
      <c r="I384" s="125"/>
      <c r="J384" s="232">
        <v>31.51</v>
      </c>
      <c r="K384" s="126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  <c r="AA384" s="6"/>
      <c r="AB384" s="6"/>
    </row>
    <row r="385" spans="1:28" s="88" customFormat="1" ht="30" x14ac:dyDescent="0.25">
      <c r="A385" s="234" t="s">
        <v>1804</v>
      </c>
      <c r="B385" s="126">
        <v>7186</v>
      </c>
      <c r="C385" s="250" t="s">
        <v>930</v>
      </c>
      <c r="D385" s="126" t="s">
        <v>229</v>
      </c>
      <c r="E385" s="153">
        <f t="shared" si="39"/>
        <v>0</v>
      </c>
      <c r="F385" s="348">
        <f t="shared" si="41"/>
        <v>37.700000000000003</v>
      </c>
      <c r="G385" s="410">
        <f t="shared" si="40"/>
        <v>0</v>
      </c>
      <c r="H385" s="222" t="s">
        <v>175</v>
      </c>
      <c r="I385" s="125"/>
      <c r="J385" s="232">
        <v>37.700000000000003</v>
      </c>
      <c r="K385" s="126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  <c r="AA385" s="6"/>
      <c r="AB385" s="6"/>
    </row>
    <row r="386" spans="1:28" s="88" customFormat="1" ht="30" x14ac:dyDescent="0.25">
      <c r="A386" s="234" t="s">
        <v>1805</v>
      </c>
      <c r="B386" s="126">
        <v>7194</v>
      </c>
      <c r="C386" s="250" t="s">
        <v>931</v>
      </c>
      <c r="D386" s="126" t="s">
        <v>572</v>
      </c>
      <c r="E386" s="153">
        <f t="shared" si="39"/>
        <v>0</v>
      </c>
      <c r="F386" s="348">
        <f t="shared" si="41"/>
        <v>18.690000000000001</v>
      </c>
      <c r="G386" s="410">
        <f t="shared" si="40"/>
        <v>0</v>
      </c>
      <c r="H386" s="222" t="s">
        <v>175</v>
      </c>
      <c r="I386" s="125"/>
      <c r="J386" s="232">
        <v>18.690000000000001</v>
      </c>
      <c r="K386" s="126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  <c r="AA386" s="6"/>
      <c r="AB386" s="6"/>
    </row>
    <row r="387" spans="1:28" s="88" customFormat="1" ht="30" x14ac:dyDescent="0.25">
      <c r="A387" s="234" t="s">
        <v>1806</v>
      </c>
      <c r="B387" s="125">
        <v>7207</v>
      </c>
      <c r="C387" s="127" t="s">
        <v>931</v>
      </c>
      <c r="D387" s="126" t="s">
        <v>229</v>
      </c>
      <c r="E387" s="153">
        <f t="shared" si="39"/>
        <v>0</v>
      </c>
      <c r="F387" s="348">
        <f t="shared" si="41"/>
        <v>50.18</v>
      </c>
      <c r="G387" s="410">
        <f t="shared" si="40"/>
        <v>0</v>
      </c>
      <c r="H387" s="222" t="s">
        <v>175</v>
      </c>
      <c r="I387" s="125"/>
      <c r="J387" s="144">
        <v>50.18</v>
      </c>
      <c r="K387" s="142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  <c r="AA387" s="6"/>
      <c r="AB387" s="6"/>
    </row>
    <row r="388" spans="1:28" s="88" customFormat="1" ht="30" x14ac:dyDescent="0.25">
      <c r="A388" s="234" t="s">
        <v>1807</v>
      </c>
      <c r="B388" s="125">
        <v>7197</v>
      </c>
      <c r="C388" s="127" t="s">
        <v>932</v>
      </c>
      <c r="D388" s="126" t="s">
        <v>229</v>
      </c>
      <c r="E388" s="153">
        <f t="shared" si="39"/>
        <v>0</v>
      </c>
      <c r="F388" s="348">
        <f t="shared" si="41"/>
        <v>75.38</v>
      </c>
      <c r="G388" s="410">
        <f t="shared" si="40"/>
        <v>0</v>
      </c>
      <c r="H388" s="222" t="s">
        <v>175</v>
      </c>
      <c r="I388" s="125"/>
      <c r="J388" s="232">
        <v>75.38</v>
      </c>
      <c r="K388" s="126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  <c r="AA388" s="6"/>
      <c r="AB388" s="6"/>
    </row>
    <row r="389" spans="1:28" s="88" customFormat="1" ht="30" x14ac:dyDescent="0.25">
      <c r="A389" s="234" t="s">
        <v>1808</v>
      </c>
      <c r="B389" s="126">
        <v>7192</v>
      </c>
      <c r="C389" s="250" t="s">
        <v>933</v>
      </c>
      <c r="D389" s="126" t="s">
        <v>229</v>
      </c>
      <c r="E389" s="153">
        <f t="shared" ref="E389:E406" si="42">Q389+S389+U389+W389+Y389</f>
        <v>0</v>
      </c>
      <c r="F389" s="348">
        <f t="shared" si="41"/>
        <v>41.46</v>
      </c>
      <c r="G389" s="410">
        <f t="shared" ref="G389:G406" si="43">R389+T389+V389+X389+Z389</f>
        <v>0</v>
      </c>
      <c r="H389" s="222" t="s">
        <v>175</v>
      </c>
      <c r="I389" s="125"/>
      <c r="J389" s="232">
        <v>41.46</v>
      </c>
      <c r="K389" s="126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  <c r="AA389" s="6"/>
      <c r="AB389" s="6"/>
    </row>
    <row r="390" spans="1:28" s="88" customFormat="1" ht="30" x14ac:dyDescent="0.25">
      <c r="A390" s="234" t="s">
        <v>1809</v>
      </c>
      <c r="B390" s="125">
        <v>7193</v>
      </c>
      <c r="C390" s="127" t="s">
        <v>934</v>
      </c>
      <c r="D390" s="126" t="s">
        <v>229</v>
      </c>
      <c r="E390" s="153">
        <f t="shared" si="42"/>
        <v>0</v>
      </c>
      <c r="F390" s="348">
        <f t="shared" si="41"/>
        <v>49.49</v>
      </c>
      <c r="G390" s="410">
        <f t="shared" si="43"/>
        <v>0</v>
      </c>
      <c r="H390" s="222" t="s">
        <v>175</v>
      </c>
      <c r="I390" s="125"/>
      <c r="J390" s="232">
        <v>49.49</v>
      </c>
      <c r="K390" s="126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  <c r="AA390" s="6"/>
      <c r="AB390" s="6"/>
    </row>
    <row r="391" spans="1:28" s="88" customFormat="1" ht="30" x14ac:dyDescent="0.25">
      <c r="A391" s="234" t="s">
        <v>1810</v>
      </c>
      <c r="B391" s="126">
        <v>7189</v>
      </c>
      <c r="C391" s="250" t="s">
        <v>935</v>
      </c>
      <c r="D391" s="126" t="s">
        <v>229</v>
      </c>
      <c r="E391" s="153">
        <f t="shared" si="42"/>
        <v>0</v>
      </c>
      <c r="F391" s="348">
        <f t="shared" si="41"/>
        <v>69.510000000000005</v>
      </c>
      <c r="G391" s="410">
        <f t="shared" si="43"/>
        <v>0</v>
      </c>
      <c r="H391" s="222" t="s">
        <v>175</v>
      </c>
      <c r="I391" s="125"/>
      <c r="J391" s="232">
        <v>69.510000000000005</v>
      </c>
      <c r="K391" s="126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  <c r="AA391" s="6"/>
      <c r="AB391" s="6"/>
    </row>
    <row r="392" spans="1:28" s="88" customFormat="1" ht="30" x14ac:dyDescent="0.25">
      <c r="A392" s="234" t="s">
        <v>1811</v>
      </c>
      <c r="B392" s="142">
        <v>7198</v>
      </c>
      <c r="C392" s="251" t="s">
        <v>936</v>
      </c>
      <c r="D392" s="126" t="s">
        <v>572</v>
      </c>
      <c r="E392" s="153">
        <f t="shared" si="42"/>
        <v>0</v>
      </c>
      <c r="F392" s="348">
        <f t="shared" si="41"/>
        <v>25.88</v>
      </c>
      <c r="G392" s="410">
        <f t="shared" si="43"/>
        <v>0</v>
      </c>
      <c r="H392" s="222" t="s">
        <v>175</v>
      </c>
      <c r="I392" s="125"/>
      <c r="J392" s="232">
        <v>25.88</v>
      </c>
      <c r="K392" s="126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  <c r="AA392" s="6"/>
      <c r="AB392" s="6"/>
    </row>
    <row r="393" spans="1:28" s="88" customFormat="1" ht="30" x14ac:dyDescent="0.25">
      <c r="A393" s="234" t="s">
        <v>1812</v>
      </c>
      <c r="B393" s="142">
        <v>34402</v>
      </c>
      <c r="C393" s="251" t="s">
        <v>936</v>
      </c>
      <c r="D393" s="126" t="s">
        <v>229</v>
      </c>
      <c r="E393" s="153">
        <f t="shared" si="42"/>
        <v>0</v>
      </c>
      <c r="F393" s="348">
        <f t="shared" si="41"/>
        <v>104.2</v>
      </c>
      <c r="G393" s="410">
        <f t="shared" si="43"/>
        <v>0</v>
      </c>
      <c r="H393" s="222" t="s">
        <v>175</v>
      </c>
      <c r="I393" s="125"/>
      <c r="J393" s="232">
        <v>104.2</v>
      </c>
      <c r="K393" s="126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  <c r="AA393" s="6"/>
      <c r="AB393" s="6"/>
    </row>
    <row r="394" spans="1:28" s="88" customFormat="1" x14ac:dyDescent="0.25">
      <c r="A394" s="234" t="s">
        <v>1813</v>
      </c>
      <c r="B394" s="142">
        <v>7245</v>
      </c>
      <c r="C394" s="251" t="s">
        <v>937</v>
      </c>
      <c r="D394" s="126" t="s">
        <v>229</v>
      </c>
      <c r="E394" s="153">
        <f t="shared" si="42"/>
        <v>0</v>
      </c>
      <c r="F394" s="348">
        <f t="shared" si="41"/>
        <v>23.33</v>
      </c>
      <c r="G394" s="410">
        <f t="shared" si="43"/>
        <v>0</v>
      </c>
      <c r="H394" s="222" t="s">
        <v>175</v>
      </c>
      <c r="I394" s="125"/>
      <c r="J394" s="232">
        <v>23.33</v>
      </c>
      <c r="K394" s="126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  <c r="AA394" s="6"/>
      <c r="AB394" s="6"/>
    </row>
    <row r="395" spans="1:28" s="88" customFormat="1" ht="30" x14ac:dyDescent="0.25">
      <c r="A395" s="234" t="s">
        <v>1814</v>
      </c>
      <c r="B395" s="142">
        <v>34425</v>
      </c>
      <c r="C395" s="251" t="s">
        <v>938</v>
      </c>
      <c r="D395" s="126" t="s">
        <v>229</v>
      </c>
      <c r="E395" s="153">
        <f t="shared" si="42"/>
        <v>0</v>
      </c>
      <c r="F395" s="348">
        <f t="shared" si="41"/>
        <v>64.430000000000007</v>
      </c>
      <c r="G395" s="410">
        <f t="shared" si="43"/>
        <v>0</v>
      </c>
      <c r="H395" s="222" t="s">
        <v>175</v>
      </c>
      <c r="I395" s="125"/>
      <c r="J395" s="232">
        <v>64.430000000000007</v>
      </c>
      <c r="K395" s="126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  <c r="AA395" s="6"/>
      <c r="AB395" s="6"/>
    </row>
    <row r="396" spans="1:28" s="88" customFormat="1" ht="30" x14ac:dyDescent="0.25">
      <c r="A396" s="234" t="s">
        <v>1815</v>
      </c>
      <c r="B396" s="126">
        <v>7223</v>
      </c>
      <c r="C396" s="250" t="s">
        <v>939</v>
      </c>
      <c r="D396" s="126" t="s">
        <v>229</v>
      </c>
      <c r="E396" s="153">
        <f t="shared" si="42"/>
        <v>0</v>
      </c>
      <c r="F396" s="348">
        <f t="shared" si="41"/>
        <v>75.09</v>
      </c>
      <c r="G396" s="410">
        <f t="shared" si="43"/>
        <v>0</v>
      </c>
      <c r="H396" s="222" t="s">
        <v>175</v>
      </c>
      <c r="I396" s="125"/>
      <c r="J396" s="232">
        <v>75.09</v>
      </c>
      <c r="K396" s="233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  <c r="AA396" s="6"/>
      <c r="AB396" s="6"/>
    </row>
    <row r="397" spans="1:28" s="88" customFormat="1" ht="30" x14ac:dyDescent="0.25">
      <c r="A397" s="234" t="s">
        <v>1816</v>
      </c>
      <c r="B397" s="142">
        <v>7234</v>
      </c>
      <c r="C397" s="251" t="s">
        <v>940</v>
      </c>
      <c r="D397" s="126" t="s">
        <v>229</v>
      </c>
      <c r="E397" s="153">
        <f t="shared" si="42"/>
        <v>0</v>
      </c>
      <c r="F397" s="348">
        <f t="shared" si="41"/>
        <v>108.31</v>
      </c>
      <c r="G397" s="410">
        <f t="shared" si="43"/>
        <v>0</v>
      </c>
      <c r="H397" s="222" t="s">
        <v>175</v>
      </c>
      <c r="I397" s="125"/>
      <c r="J397" s="232">
        <v>108.31</v>
      </c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  <c r="AA397" s="6"/>
      <c r="AB397" s="6"/>
    </row>
    <row r="398" spans="1:28" s="88" customFormat="1" x14ac:dyDescent="0.25">
      <c r="A398" s="234" t="s">
        <v>1817</v>
      </c>
      <c r="B398" s="118"/>
      <c r="C398" s="15" t="s">
        <v>124</v>
      </c>
      <c r="D398" s="253" t="s">
        <v>1</v>
      </c>
      <c r="E398" s="153">
        <f t="shared" si="42"/>
        <v>95</v>
      </c>
      <c r="F398" s="348">
        <f t="shared" si="41"/>
        <v>105.07666666666667</v>
      </c>
      <c r="G398" s="410">
        <f t="shared" si="43"/>
        <v>9982.2833333333328</v>
      </c>
      <c r="H398" s="411"/>
      <c r="I398" s="2">
        <v>114.11</v>
      </c>
      <c r="J398" s="30"/>
      <c r="K398" s="413">
        <v>119.23</v>
      </c>
      <c r="L398" s="414"/>
      <c r="M398" s="413">
        <v>99</v>
      </c>
      <c r="N398" s="414"/>
      <c r="O398" s="414"/>
      <c r="P398" s="414">
        <v>97</v>
      </c>
      <c r="Q398" s="27">
        <v>5</v>
      </c>
      <c r="R398" s="57">
        <f>$F398*Q398</f>
        <v>525.38333333333333</v>
      </c>
      <c r="S398" s="34">
        <v>30</v>
      </c>
      <c r="T398" s="60">
        <f>$F398*S398</f>
        <v>3152.3</v>
      </c>
      <c r="U398" s="35">
        <v>25</v>
      </c>
      <c r="V398" s="61">
        <f>$F398*U398</f>
        <v>2626.9166666666665</v>
      </c>
      <c r="W398" s="45">
        <v>20</v>
      </c>
      <c r="X398" s="62">
        <f>$F398*W398</f>
        <v>2101.5333333333333</v>
      </c>
      <c r="Y398" s="36">
        <v>15</v>
      </c>
      <c r="Z398" s="63">
        <f>$F398*Y398</f>
        <v>1576.15</v>
      </c>
      <c r="AA398" s="6"/>
      <c r="AB398" s="6"/>
    </row>
    <row r="399" spans="1:28" s="88" customFormat="1" x14ac:dyDescent="0.25">
      <c r="A399" s="234" t="s">
        <v>1818</v>
      </c>
      <c r="B399" s="403"/>
      <c r="C399" s="404" t="s">
        <v>125</v>
      </c>
      <c r="D399" s="253" t="s">
        <v>1</v>
      </c>
      <c r="E399" s="153">
        <f t="shared" si="42"/>
        <v>140</v>
      </c>
      <c r="F399" s="348">
        <f t="shared" si="41"/>
        <v>37.300000000000004</v>
      </c>
      <c r="G399" s="410">
        <f t="shared" si="43"/>
        <v>5222.0000000000009</v>
      </c>
      <c r="H399" s="411"/>
      <c r="I399" s="2">
        <v>33.67</v>
      </c>
      <c r="J399" s="30"/>
      <c r="K399" s="30">
        <v>30</v>
      </c>
      <c r="L399" s="29"/>
      <c r="M399" s="30"/>
      <c r="N399" s="29"/>
      <c r="O399" s="29">
        <v>44.9</v>
      </c>
      <c r="P399" s="29">
        <v>37</v>
      </c>
      <c r="Q399" s="27">
        <v>5</v>
      </c>
      <c r="R399" s="57">
        <f>$F399*Q399</f>
        <v>186.50000000000003</v>
      </c>
      <c r="S399" s="34">
        <v>50</v>
      </c>
      <c r="T399" s="60">
        <f>$F399*S399</f>
        <v>1865.0000000000002</v>
      </c>
      <c r="U399" s="35">
        <v>50</v>
      </c>
      <c r="V399" s="61">
        <f>$F399*U399</f>
        <v>1865.0000000000002</v>
      </c>
      <c r="W399" s="45">
        <v>10</v>
      </c>
      <c r="X399" s="62">
        <f>$F399*W399</f>
        <v>373.00000000000006</v>
      </c>
      <c r="Y399" s="36">
        <v>25</v>
      </c>
      <c r="Z399" s="63">
        <f>$F399*Y399</f>
        <v>932.50000000000011</v>
      </c>
      <c r="AA399" s="6"/>
      <c r="AB399" s="6"/>
    </row>
    <row r="400" spans="1:28" s="88" customFormat="1" ht="30" x14ac:dyDescent="0.25">
      <c r="A400" s="234" t="s">
        <v>1819</v>
      </c>
      <c r="B400" s="126">
        <v>4806</v>
      </c>
      <c r="C400" s="250" t="s">
        <v>1070</v>
      </c>
      <c r="D400" s="126" t="s">
        <v>237</v>
      </c>
      <c r="E400" s="153">
        <f t="shared" si="42"/>
        <v>0</v>
      </c>
      <c r="F400" s="348">
        <f t="shared" si="41"/>
        <v>11.68</v>
      </c>
      <c r="G400" s="410">
        <f t="shared" si="43"/>
        <v>0</v>
      </c>
      <c r="H400" s="222" t="s">
        <v>175</v>
      </c>
      <c r="I400" s="125"/>
      <c r="J400" s="232">
        <v>11.68</v>
      </c>
      <c r="K400" s="126"/>
      <c r="L400" s="125"/>
      <c r="M400" s="126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6"/>
      <c r="AB400" s="6"/>
    </row>
    <row r="401" spans="1:28" s="88" customFormat="1" x14ac:dyDescent="0.25">
      <c r="A401" s="234" t="s">
        <v>1820</v>
      </c>
      <c r="B401" s="248"/>
      <c r="C401" s="249" t="s">
        <v>126</v>
      </c>
      <c r="D401" s="252" t="s">
        <v>1</v>
      </c>
      <c r="E401" s="153">
        <f t="shared" si="42"/>
        <v>15100</v>
      </c>
      <c r="F401" s="348">
        <f t="shared" si="41"/>
        <v>1.0233333333333332</v>
      </c>
      <c r="G401" s="410">
        <f t="shared" si="43"/>
        <v>15452.333333333334</v>
      </c>
      <c r="H401" s="411"/>
      <c r="I401" s="2">
        <v>1.08</v>
      </c>
      <c r="J401" s="30"/>
      <c r="K401" s="30">
        <v>0.9</v>
      </c>
      <c r="L401" s="29"/>
      <c r="M401" s="30"/>
      <c r="N401" s="29"/>
      <c r="O401" s="29">
        <v>1.19</v>
      </c>
      <c r="P401" s="29">
        <v>0.98</v>
      </c>
      <c r="Q401" s="27">
        <v>1000</v>
      </c>
      <c r="R401" s="57">
        <f>$F401*Q401</f>
        <v>1023.3333333333333</v>
      </c>
      <c r="S401" s="34">
        <v>10000</v>
      </c>
      <c r="T401" s="60">
        <f>$F401*S401</f>
        <v>10233.333333333332</v>
      </c>
      <c r="U401" s="39">
        <v>100</v>
      </c>
      <c r="V401" s="61">
        <f>$F401*U401</f>
        <v>102.33333333333331</v>
      </c>
      <c r="W401" s="45">
        <v>3000</v>
      </c>
      <c r="X401" s="62">
        <f>$F401*W401</f>
        <v>3069.9999999999995</v>
      </c>
      <c r="Y401" s="36">
        <v>1000</v>
      </c>
      <c r="Z401" s="63">
        <f>$F401*Y401</f>
        <v>1023.3333333333333</v>
      </c>
      <c r="AA401" s="6"/>
      <c r="AB401" s="6"/>
    </row>
    <row r="402" spans="1:28" s="88" customFormat="1" x14ac:dyDescent="0.25">
      <c r="A402" s="234" t="s">
        <v>1821</v>
      </c>
      <c r="B402" s="248"/>
      <c r="C402" s="249" t="s">
        <v>127</v>
      </c>
      <c r="D402" s="252" t="s">
        <v>1</v>
      </c>
      <c r="E402" s="153">
        <f t="shared" si="42"/>
        <v>9100</v>
      </c>
      <c r="F402" s="348">
        <f t="shared" si="41"/>
        <v>0.61</v>
      </c>
      <c r="G402" s="410">
        <f t="shared" si="43"/>
        <v>5551</v>
      </c>
      <c r="H402" s="411"/>
      <c r="I402" s="2">
        <v>0.75</v>
      </c>
      <c r="J402" s="30"/>
      <c r="K402" s="30">
        <v>0.7</v>
      </c>
      <c r="L402" s="29"/>
      <c r="M402" s="30"/>
      <c r="N402" s="29"/>
      <c r="O402" s="29">
        <v>0.59</v>
      </c>
      <c r="P402" s="29">
        <v>0.54</v>
      </c>
      <c r="Q402" s="27">
        <v>1000</v>
      </c>
      <c r="R402" s="57">
        <f>$F402*Q402</f>
        <v>610</v>
      </c>
      <c r="S402" s="34">
        <v>5000</v>
      </c>
      <c r="T402" s="60">
        <f>$F402*S402</f>
        <v>3050</v>
      </c>
      <c r="U402" s="39">
        <v>100</v>
      </c>
      <c r="V402" s="61">
        <f>$F402*U402</f>
        <v>61</v>
      </c>
      <c r="W402" s="45">
        <v>2000</v>
      </c>
      <c r="X402" s="62">
        <f>$F402*W402</f>
        <v>1220</v>
      </c>
      <c r="Y402" s="36">
        <v>1000</v>
      </c>
      <c r="Z402" s="63">
        <f>$F402*Y402</f>
        <v>610</v>
      </c>
      <c r="AA402" s="6"/>
      <c r="AB402" s="6"/>
    </row>
    <row r="403" spans="1:28" s="88" customFormat="1" ht="45" x14ac:dyDescent="0.25">
      <c r="A403" s="234" t="s">
        <v>1822</v>
      </c>
      <c r="B403" s="126">
        <v>11060</v>
      </c>
      <c r="C403" s="250" t="s">
        <v>942</v>
      </c>
      <c r="D403" s="126" t="s">
        <v>229</v>
      </c>
      <c r="E403" s="153">
        <f t="shared" si="42"/>
        <v>0</v>
      </c>
      <c r="F403" s="348">
        <f t="shared" si="41"/>
        <v>26.37</v>
      </c>
      <c r="G403" s="410">
        <f t="shared" si="43"/>
        <v>0</v>
      </c>
      <c r="H403" s="222" t="s">
        <v>175</v>
      </c>
      <c r="I403" s="125"/>
      <c r="J403" s="232">
        <v>26.37</v>
      </c>
      <c r="K403" s="126"/>
      <c r="L403" s="125"/>
      <c r="M403" s="126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6"/>
      <c r="AB403" s="6"/>
    </row>
    <row r="404" spans="1:28" s="88" customFormat="1" ht="30" x14ac:dyDescent="0.25">
      <c r="A404" s="234" t="s">
        <v>1823</v>
      </c>
      <c r="B404" s="125">
        <v>38177</v>
      </c>
      <c r="C404" s="127" t="s">
        <v>708</v>
      </c>
      <c r="D404" s="126" t="s">
        <v>229</v>
      </c>
      <c r="E404" s="153">
        <f t="shared" si="42"/>
        <v>0</v>
      </c>
      <c r="F404" s="348">
        <f t="shared" si="41"/>
        <v>7.68</v>
      </c>
      <c r="G404" s="410">
        <f t="shared" si="43"/>
        <v>0</v>
      </c>
      <c r="H404" s="222" t="s">
        <v>175</v>
      </c>
      <c r="I404" s="125"/>
      <c r="J404" s="232">
        <v>7.68</v>
      </c>
      <c r="K404" s="126"/>
      <c r="L404" s="125"/>
      <c r="M404" s="126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6"/>
      <c r="AB404" s="6"/>
    </row>
    <row r="405" spans="1:28" s="88" customFormat="1" x14ac:dyDescent="0.25">
      <c r="A405" s="234" t="s">
        <v>1824</v>
      </c>
      <c r="B405" s="10"/>
      <c r="C405" s="12" t="s">
        <v>128</v>
      </c>
      <c r="D405" s="252" t="s">
        <v>1</v>
      </c>
      <c r="E405" s="153">
        <f t="shared" si="42"/>
        <v>40</v>
      </c>
      <c r="F405" s="348">
        <f t="shared" si="41"/>
        <v>18.07</v>
      </c>
      <c r="G405" s="410">
        <f t="shared" si="43"/>
        <v>722.8</v>
      </c>
      <c r="H405" s="411"/>
      <c r="I405" s="2">
        <v>24.5</v>
      </c>
      <c r="J405" s="30"/>
      <c r="K405" s="30">
        <v>23.14</v>
      </c>
      <c r="L405" s="29"/>
      <c r="M405" s="30"/>
      <c r="N405" s="29"/>
      <c r="O405" s="29"/>
      <c r="P405" s="29">
        <v>13</v>
      </c>
      <c r="Q405" s="27">
        <v>5</v>
      </c>
      <c r="R405" s="57">
        <f>$F405*Q405</f>
        <v>90.35</v>
      </c>
      <c r="S405" s="34">
        <v>5</v>
      </c>
      <c r="T405" s="60">
        <f>$F405*S405</f>
        <v>90.35</v>
      </c>
      <c r="U405" s="35">
        <v>5</v>
      </c>
      <c r="V405" s="61">
        <f>$F405*U405</f>
        <v>90.35</v>
      </c>
      <c r="W405" s="45">
        <v>10</v>
      </c>
      <c r="X405" s="62">
        <f>$F405*W405</f>
        <v>180.7</v>
      </c>
      <c r="Y405" s="36">
        <v>15</v>
      </c>
      <c r="Z405" s="63">
        <f>$F405*Y405</f>
        <v>271.05</v>
      </c>
      <c r="AA405" s="6"/>
      <c r="AB405" s="6"/>
    </row>
    <row r="406" spans="1:28" s="88" customFormat="1" x14ac:dyDescent="0.25">
      <c r="A406" s="234" t="s">
        <v>1825</v>
      </c>
      <c r="B406" s="10"/>
      <c r="C406" s="11" t="s">
        <v>129</v>
      </c>
      <c r="D406" s="252" t="s">
        <v>1</v>
      </c>
      <c r="E406" s="153">
        <f t="shared" si="42"/>
        <v>45</v>
      </c>
      <c r="F406" s="348">
        <f t="shared" si="41"/>
        <v>65.63666666666667</v>
      </c>
      <c r="G406" s="410">
        <f t="shared" si="43"/>
        <v>2953.65</v>
      </c>
      <c r="H406" s="411"/>
      <c r="I406" s="3">
        <v>81</v>
      </c>
      <c r="J406" s="30"/>
      <c r="K406" s="30">
        <v>88.91</v>
      </c>
      <c r="L406" s="29"/>
      <c r="M406" s="30">
        <v>19</v>
      </c>
      <c r="N406" s="29"/>
      <c r="O406" s="29"/>
      <c r="P406" s="29">
        <v>89</v>
      </c>
      <c r="Q406" s="27">
        <v>5</v>
      </c>
      <c r="R406" s="57">
        <f>$F406*Q406</f>
        <v>328.18333333333334</v>
      </c>
      <c r="S406" s="34">
        <v>5</v>
      </c>
      <c r="T406" s="60">
        <f>$F406*S406</f>
        <v>328.18333333333334</v>
      </c>
      <c r="U406" s="35">
        <v>5</v>
      </c>
      <c r="V406" s="61">
        <f>$F406*U406</f>
        <v>328.18333333333334</v>
      </c>
      <c r="W406" s="45">
        <v>15</v>
      </c>
      <c r="X406" s="62">
        <f>$F406*W406</f>
        <v>984.55000000000007</v>
      </c>
      <c r="Y406" s="36">
        <v>15</v>
      </c>
      <c r="Z406" s="63">
        <f>$F406*Y406</f>
        <v>984.55000000000007</v>
      </c>
      <c r="AA406" s="6"/>
      <c r="AB406" s="6"/>
    </row>
    <row r="407" spans="1:28" s="88" customFormat="1" x14ac:dyDescent="0.25">
      <c r="A407" s="125"/>
      <c r="B407" s="125"/>
      <c r="C407" s="125"/>
      <c r="D407" s="126"/>
      <c r="E407" s="125"/>
      <c r="F407" s="126"/>
      <c r="G407" s="125"/>
      <c r="H407" s="125"/>
      <c r="I407" s="125"/>
      <c r="J407" s="126"/>
      <c r="K407" s="126"/>
      <c r="L407" s="125"/>
      <c r="M407" s="126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6"/>
      <c r="AB407" s="6"/>
    </row>
    <row r="408" spans="1:28" s="6" customFormat="1" x14ac:dyDescent="0.25">
      <c r="A408" s="190"/>
      <c r="B408" s="190"/>
      <c r="C408" s="415" t="s">
        <v>1172</v>
      </c>
      <c r="D408" s="192"/>
      <c r="E408" s="193"/>
      <c r="F408" s="325"/>
      <c r="G408" s="301">
        <f>SUM(G5:G406)</f>
        <v>713902.69898888934</v>
      </c>
      <c r="H408" s="408"/>
      <c r="I408" s="325"/>
      <c r="J408" s="325"/>
      <c r="K408" s="325"/>
      <c r="L408" s="325"/>
      <c r="M408" s="325" t="s">
        <v>1177</v>
      </c>
      <c r="N408" s="325"/>
      <c r="O408" s="325"/>
      <c r="P408" s="325"/>
      <c r="Q408" s="190"/>
      <c r="R408" s="303">
        <f>SUM(R5:R407)</f>
        <v>64491.579238888902</v>
      </c>
      <c r="S408" s="196"/>
      <c r="T408" s="303">
        <f t="shared" ref="T408:Z408" si="44">SUM(T5:T407)</f>
        <v>170825.26300000001</v>
      </c>
      <c r="U408" s="197"/>
      <c r="V408" s="303">
        <f t="shared" si="44"/>
        <v>164603.75838888888</v>
      </c>
      <c r="W408" s="197"/>
      <c r="X408" s="303">
        <f t="shared" si="44"/>
        <v>176068.99138888883</v>
      </c>
      <c r="Y408" s="197"/>
      <c r="Z408" s="303">
        <f t="shared" si="44"/>
        <v>137913.10697222222</v>
      </c>
    </row>
    <row r="409" spans="1:28" s="6" customFormat="1" x14ac:dyDescent="0.25">
      <c r="A409" s="55"/>
      <c r="B409" s="55"/>
      <c r="C409" s="416" t="s">
        <v>1109</v>
      </c>
      <c r="D409" s="55">
        <f>COUNTA(A5:A406)</f>
        <v>402</v>
      </c>
      <c r="E409" s="195"/>
      <c r="F409" s="301"/>
      <c r="G409" s="278"/>
      <c r="H409" s="326"/>
      <c r="I409" s="326"/>
      <c r="J409" s="326"/>
      <c r="K409" s="326"/>
      <c r="L409" s="327"/>
      <c r="M409" s="327"/>
      <c r="N409" s="327"/>
      <c r="O409" s="327"/>
      <c r="P409" s="327"/>
      <c r="Q409" s="196"/>
      <c r="R409" s="196"/>
      <c r="S409" s="196"/>
      <c r="T409" s="262"/>
      <c r="U409" s="197"/>
      <c r="V409" s="262"/>
      <c r="W409" s="197"/>
      <c r="X409" s="262"/>
      <c r="Y409" s="197"/>
      <c r="Z409" s="262"/>
    </row>
    <row r="410" spans="1:28" s="6" customFormat="1" x14ac:dyDescent="0.25">
      <c r="G410" s="59"/>
      <c r="H410" s="59"/>
      <c r="I410" s="32"/>
      <c r="J410" s="28"/>
      <c r="K410" s="28"/>
      <c r="L410" s="28"/>
      <c r="M410" s="28"/>
      <c r="N410" s="28"/>
      <c r="O410" s="28"/>
      <c r="P410" s="28"/>
      <c r="Q410" s="53"/>
      <c r="R410" s="59"/>
      <c r="S410" s="53"/>
      <c r="T410" s="59"/>
      <c r="U410" s="53"/>
      <c r="V410" s="59"/>
      <c r="W410" s="53"/>
      <c r="X410" s="59"/>
      <c r="Y410" s="53"/>
      <c r="Z410" s="59"/>
    </row>
    <row r="411" spans="1:28" s="6" customFormat="1" x14ac:dyDescent="0.25">
      <c r="G411" s="59"/>
      <c r="H411" s="59"/>
      <c r="I411" s="32"/>
      <c r="J411" s="28"/>
      <c r="K411" s="28"/>
      <c r="L411" s="28"/>
      <c r="M411" s="28"/>
      <c r="N411" s="28"/>
      <c r="O411" s="28"/>
      <c r="P411" s="28"/>
      <c r="Q411" s="53"/>
      <c r="R411" s="59"/>
      <c r="S411" s="53"/>
      <c r="T411" s="59"/>
      <c r="U411" s="53"/>
      <c r="V411" s="59"/>
      <c r="W411" s="53"/>
      <c r="X411" s="59"/>
      <c r="Y411" s="53"/>
      <c r="Z411" s="59"/>
    </row>
    <row r="412" spans="1:28" s="6" customFormat="1" x14ac:dyDescent="0.25">
      <c r="G412" s="59"/>
      <c r="H412" s="59"/>
      <c r="I412" s="32"/>
      <c r="J412" s="28"/>
      <c r="K412" s="28"/>
      <c r="L412" s="28"/>
      <c r="M412" s="28"/>
      <c r="N412" s="28"/>
      <c r="O412" s="28"/>
      <c r="P412" s="28"/>
      <c r="Q412" s="53"/>
      <c r="R412" s="59"/>
      <c r="S412" s="53"/>
      <c r="T412" s="59"/>
      <c r="U412" s="53"/>
      <c r="V412" s="59"/>
      <c r="W412" s="53"/>
      <c r="X412" s="59"/>
      <c r="Y412" s="53"/>
      <c r="Z412" s="59"/>
    </row>
    <row r="413" spans="1:28" s="6" customFormat="1" x14ac:dyDescent="0.25">
      <c r="G413" s="59"/>
      <c r="H413" s="59"/>
      <c r="I413" s="32"/>
      <c r="J413" s="28"/>
      <c r="K413" s="28"/>
      <c r="L413" s="28"/>
      <c r="M413" s="28"/>
      <c r="N413" s="28"/>
      <c r="O413" s="28"/>
      <c r="P413" s="28"/>
      <c r="Q413" s="53"/>
      <c r="R413" s="59"/>
      <c r="S413" s="53"/>
      <c r="T413" s="59"/>
      <c r="U413" s="53"/>
      <c r="V413" s="59"/>
      <c r="W413" s="53"/>
      <c r="X413" s="59"/>
      <c r="Y413" s="53"/>
      <c r="Z413" s="59"/>
    </row>
    <row r="414" spans="1:28" s="6" customFormat="1" x14ac:dyDescent="0.25">
      <c r="G414" s="59"/>
      <c r="H414" s="59"/>
      <c r="I414" s="32"/>
      <c r="J414" s="28"/>
      <c r="K414" s="28"/>
      <c r="L414" s="28"/>
      <c r="M414" s="28"/>
      <c r="N414" s="28"/>
      <c r="O414" s="28"/>
      <c r="P414" s="28"/>
      <c r="Q414" s="53"/>
      <c r="R414" s="59"/>
      <c r="S414" s="53"/>
      <c r="T414" s="59"/>
      <c r="U414" s="53"/>
      <c r="V414" s="59"/>
      <c r="W414" s="53"/>
      <c r="X414" s="59"/>
      <c r="Y414" s="53"/>
      <c r="Z414" s="59"/>
    </row>
    <row r="415" spans="1:28" s="6" customFormat="1" x14ac:dyDescent="0.25">
      <c r="G415" s="59"/>
      <c r="H415" s="59"/>
      <c r="I415" s="32"/>
      <c r="J415" s="28"/>
      <c r="K415" s="28"/>
      <c r="L415" s="28"/>
      <c r="M415" s="28"/>
      <c r="N415" s="28"/>
      <c r="O415" s="28"/>
      <c r="P415" s="28"/>
      <c r="Q415" s="53"/>
      <c r="R415" s="59"/>
      <c r="S415" s="53"/>
      <c r="T415" s="59"/>
      <c r="U415" s="53"/>
      <c r="V415" s="59"/>
      <c r="W415" s="53"/>
      <c r="X415" s="59"/>
      <c r="Y415" s="53"/>
      <c r="Z415" s="59"/>
    </row>
    <row r="416" spans="1:28" s="6" customFormat="1" x14ac:dyDescent="0.25">
      <c r="G416" s="59"/>
      <c r="H416" s="59"/>
      <c r="I416" s="32"/>
      <c r="J416" s="28"/>
      <c r="K416" s="28"/>
      <c r="L416" s="28"/>
      <c r="M416" s="28"/>
      <c r="N416" s="28"/>
      <c r="O416" s="28"/>
      <c r="P416" s="28"/>
      <c r="Q416" s="53"/>
      <c r="R416" s="59"/>
      <c r="S416" s="53"/>
      <c r="T416" s="59"/>
      <c r="U416" s="53"/>
      <c r="V416" s="59"/>
      <c r="W416" s="53"/>
      <c r="X416" s="59"/>
      <c r="Y416" s="53"/>
      <c r="Z416" s="59"/>
    </row>
    <row r="417" spans="7:26" s="6" customFormat="1" x14ac:dyDescent="0.25">
      <c r="G417" s="59"/>
      <c r="H417" s="59"/>
      <c r="I417" s="32"/>
      <c r="J417" s="28"/>
      <c r="K417" s="28"/>
      <c r="L417" s="28"/>
      <c r="M417" s="28"/>
      <c r="N417" s="28"/>
      <c r="O417" s="28"/>
      <c r="P417" s="28"/>
      <c r="Q417" s="53"/>
      <c r="R417" s="59"/>
      <c r="S417" s="53"/>
      <c r="T417" s="59"/>
      <c r="U417" s="53"/>
      <c r="V417" s="59"/>
      <c r="W417" s="53"/>
      <c r="X417" s="59"/>
      <c r="Y417" s="53"/>
      <c r="Z417" s="59"/>
    </row>
    <row r="418" spans="7:26" s="6" customFormat="1" x14ac:dyDescent="0.25">
      <c r="G418" s="59"/>
      <c r="H418" s="59"/>
      <c r="I418" s="32"/>
      <c r="J418" s="28"/>
      <c r="K418" s="28"/>
      <c r="L418" s="28"/>
      <c r="M418" s="28"/>
      <c r="N418" s="28"/>
      <c r="O418" s="28"/>
      <c r="P418" s="28"/>
      <c r="Q418" s="53"/>
      <c r="R418" s="59"/>
      <c r="S418" s="53"/>
      <c r="T418" s="59"/>
      <c r="U418" s="53"/>
      <c r="V418" s="59"/>
      <c r="W418" s="53"/>
      <c r="X418" s="59"/>
      <c r="Y418" s="53"/>
      <c r="Z418" s="59"/>
    </row>
    <row r="419" spans="7:26" s="6" customFormat="1" x14ac:dyDescent="0.25">
      <c r="G419" s="59"/>
      <c r="H419" s="59"/>
      <c r="I419" s="32"/>
      <c r="J419" s="28"/>
      <c r="K419" s="28"/>
      <c r="L419" s="28"/>
      <c r="M419" s="28"/>
      <c r="N419" s="28"/>
      <c r="O419" s="28"/>
      <c r="P419" s="28"/>
      <c r="Q419" s="53"/>
      <c r="R419" s="59"/>
      <c r="S419" s="53"/>
      <c r="T419" s="59"/>
      <c r="U419" s="53"/>
      <c r="V419" s="59"/>
      <c r="W419" s="53"/>
      <c r="X419" s="59"/>
      <c r="Y419" s="53"/>
      <c r="Z419" s="59"/>
    </row>
    <row r="420" spans="7:26" s="6" customFormat="1" x14ac:dyDescent="0.25">
      <c r="G420" s="59"/>
      <c r="H420" s="59"/>
      <c r="I420" s="32"/>
      <c r="J420" s="28"/>
      <c r="K420" s="28"/>
      <c r="L420" s="28"/>
      <c r="M420" s="28"/>
      <c r="N420" s="28"/>
      <c r="O420" s="28"/>
      <c r="P420" s="28"/>
      <c r="Q420" s="53"/>
      <c r="R420" s="59"/>
      <c r="S420" s="53"/>
      <c r="T420" s="59"/>
      <c r="U420" s="53"/>
      <c r="V420" s="59"/>
      <c r="W420" s="53"/>
      <c r="X420" s="59"/>
      <c r="Y420" s="53"/>
      <c r="Z420" s="59"/>
    </row>
    <row r="421" spans="7:26" s="6" customFormat="1" x14ac:dyDescent="0.25">
      <c r="G421" s="59"/>
      <c r="H421" s="59"/>
      <c r="I421" s="32"/>
      <c r="J421" s="28"/>
      <c r="K421" s="28"/>
      <c r="L421" s="28"/>
      <c r="M421" s="28"/>
      <c r="N421" s="28"/>
      <c r="O421" s="28"/>
      <c r="P421" s="28"/>
      <c r="Q421" s="53"/>
      <c r="R421" s="59"/>
      <c r="S421" s="53"/>
      <c r="T421" s="59"/>
      <c r="U421" s="53"/>
      <c r="V421" s="59"/>
      <c r="W421" s="53"/>
      <c r="X421" s="59"/>
      <c r="Y421" s="53"/>
      <c r="Z421" s="59"/>
    </row>
    <row r="422" spans="7:26" s="6" customFormat="1" x14ac:dyDescent="0.25">
      <c r="G422" s="59"/>
      <c r="H422" s="59"/>
      <c r="I422" s="32"/>
      <c r="J422" s="28"/>
      <c r="K422" s="28"/>
      <c r="L422" s="28"/>
      <c r="M422" s="28"/>
      <c r="N422" s="28"/>
      <c r="O422" s="28"/>
      <c r="P422" s="28"/>
      <c r="Q422" s="53"/>
      <c r="R422" s="59"/>
      <c r="S422" s="53"/>
      <c r="T422" s="59"/>
      <c r="U422" s="53"/>
      <c r="V422" s="59"/>
      <c r="W422" s="53"/>
      <c r="X422" s="59"/>
      <c r="Y422" s="53"/>
      <c r="Z422" s="59"/>
    </row>
    <row r="423" spans="7:26" s="6" customFormat="1" x14ac:dyDescent="0.25">
      <c r="G423" s="59"/>
      <c r="H423" s="59"/>
      <c r="I423" s="32"/>
      <c r="J423" s="28"/>
      <c r="K423" s="28"/>
      <c r="L423" s="28"/>
      <c r="M423" s="28"/>
      <c r="N423" s="28"/>
      <c r="O423" s="28"/>
      <c r="P423" s="28"/>
      <c r="Q423" s="53"/>
      <c r="R423" s="59"/>
      <c r="S423" s="53"/>
      <c r="T423" s="59"/>
      <c r="U423" s="53"/>
      <c r="V423" s="59"/>
      <c r="W423" s="53"/>
      <c r="X423" s="59"/>
      <c r="Y423" s="53"/>
      <c r="Z423" s="59"/>
    </row>
    <row r="424" spans="7:26" s="6" customFormat="1" x14ac:dyDescent="0.25">
      <c r="G424" s="59"/>
      <c r="H424" s="59"/>
      <c r="I424" s="32"/>
      <c r="J424" s="28"/>
      <c r="K424" s="28"/>
      <c r="L424" s="28"/>
      <c r="M424" s="28"/>
      <c r="N424" s="28"/>
      <c r="O424" s="28"/>
      <c r="P424" s="28"/>
      <c r="Q424" s="53"/>
      <c r="R424" s="59"/>
      <c r="S424" s="53"/>
      <c r="T424" s="59"/>
      <c r="U424" s="53"/>
      <c r="V424" s="59"/>
      <c r="W424" s="53"/>
      <c r="X424" s="59"/>
      <c r="Y424" s="53"/>
      <c r="Z424" s="59"/>
    </row>
    <row r="425" spans="7:26" s="6" customFormat="1" x14ac:dyDescent="0.25">
      <c r="G425" s="59"/>
      <c r="H425" s="59"/>
      <c r="I425" s="32"/>
      <c r="J425" s="28"/>
      <c r="K425" s="28"/>
      <c r="L425" s="28"/>
      <c r="M425" s="28"/>
      <c r="N425" s="28"/>
      <c r="O425" s="28"/>
      <c r="P425" s="28"/>
      <c r="Q425" s="53"/>
      <c r="R425" s="59"/>
      <c r="S425" s="53"/>
      <c r="T425" s="59"/>
      <c r="U425" s="53"/>
      <c r="V425" s="59"/>
      <c r="W425" s="53"/>
      <c r="X425" s="59"/>
      <c r="Y425" s="53"/>
      <c r="Z425" s="59"/>
    </row>
    <row r="426" spans="7:26" s="6" customFormat="1" x14ac:dyDescent="0.25">
      <c r="G426" s="59"/>
      <c r="H426" s="59"/>
      <c r="I426" s="32"/>
      <c r="J426" s="28"/>
      <c r="K426" s="28"/>
      <c r="L426" s="28"/>
      <c r="M426" s="28"/>
      <c r="N426" s="28"/>
      <c r="O426" s="28"/>
      <c r="P426" s="28"/>
      <c r="Q426" s="53"/>
      <c r="R426" s="59"/>
      <c r="S426" s="53"/>
      <c r="T426" s="59"/>
      <c r="U426" s="53"/>
      <c r="V426" s="59"/>
      <c r="W426" s="53"/>
      <c r="X426" s="59"/>
      <c r="Y426" s="53"/>
      <c r="Z426" s="59"/>
    </row>
    <row r="427" spans="7:26" s="6" customFormat="1" x14ac:dyDescent="0.25">
      <c r="G427" s="59"/>
      <c r="H427" s="59"/>
      <c r="I427" s="32"/>
      <c r="J427" s="28"/>
      <c r="K427" s="28"/>
      <c r="L427" s="28"/>
      <c r="M427" s="28"/>
      <c r="N427" s="28"/>
      <c r="O427" s="28"/>
      <c r="P427" s="28"/>
      <c r="Q427" s="53"/>
      <c r="R427" s="59"/>
      <c r="S427" s="53"/>
      <c r="T427" s="59"/>
      <c r="U427" s="53"/>
      <c r="V427" s="59"/>
      <c r="W427" s="53"/>
      <c r="X427" s="59"/>
      <c r="Y427" s="53"/>
      <c r="Z427" s="59"/>
    </row>
    <row r="428" spans="7:26" s="6" customFormat="1" x14ac:dyDescent="0.25">
      <c r="G428" s="59"/>
      <c r="H428" s="59"/>
      <c r="I428" s="32"/>
      <c r="J428" s="28"/>
      <c r="K428" s="28"/>
      <c r="L428" s="28"/>
      <c r="M428" s="28"/>
      <c r="N428" s="28"/>
      <c r="O428" s="28"/>
      <c r="P428" s="28"/>
      <c r="Q428" s="53"/>
      <c r="R428" s="59"/>
      <c r="S428" s="53"/>
      <c r="T428" s="59"/>
      <c r="U428" s="53"/>
      <c r="V428" s="59"/>
      <c r="W428" s="53"/>
      <c r="X428" s="59"/>
      <c r="Y428" s="53"/>
      <c r="Z428" s="59"/>
    </row>
    <row r="429" spans="7:26" s="6" customFormat="1" x14ac:dyDescent="0.25">
      <c r="G429" s="59"/>
      <c r="H429" s="59"/>
      <c r="I429" s="32"/>
      <c r="J429" s="28"/>
      <c r="K429" s="28"/>
      <c r="L429" s="28"/>
      <c r="M429" s="28"/>
      <c r="N429" s="28"/>
      <c r="O429" s="28"/>
      <c r="P429" s="28"/>
      <c r="Q429" s="53"/>
      <c r="R429" s="59"/>
      <c r="S429" s="53"/>
      <c r="T429" s="59"/>
      <c r="U429" s="53"/>
      <c r="V429" s="59"/>
      <c r="W429" s="53"/>
      <c r="X429" s="59"/>
      <c r="Y429" s="53"/>
      <c r="Z429" s="59"/>
    </row>
    <row r="430" spans="7:26" s="6" customFormat="1" x14ac:dyDescent="0.25">
      <c r="G430" s="59"/>
      <c r="H430" s="59"/>
      <c r="I430" s="32"/>
      <c r="J430" s="28"/>
      <c r="K430" s="28"/>
      <c r="L430" s="28"/>
      <c r="M430" s="28"/>
      <c r="N430" s="28"/>
      <c r="O430" s="28"/>
      <c r="P430" s="28"/>
      <c r="Q430" s="53"/>
      <c r="R430" s="59"/>
      <c r="S430" s="53"/>
      <c r="T430" s="59"/>
      <c r="U430" s="53"/>
      <c r="V430" s="59"/>
      <c r="W430" s="53"/>
      <c r="X430" s="59"/>
      <c r="Y430" s="53"/>
      <c r="Z430" s="59"/>
    </row>
    <row r="431" spans="7:26" s="6" customFormat="1" x14ac:dyDescent="0.25">
      <c r="G431" s="59"/>
      <c r="H431" s="59"/>
      <c r="I431" s="32"/>
      <c r="J431" s="28"/>
      <c r="K431" s="28"/>
      <c r="L431" s="28"/>
      <c r="M431" s="28"/>
      <c r="N431" s="28"/>
      <c r="O431" s="28"/>
      <c r="P431" s="28"/>
      <c r="Q431" s="53"/>
      <c r="R431" s="59"/>
      <c r="S431" s="53"/>
      <c r="T431" s="59"/>
      <c r="U431" s="53"/>
      <c r="V431" s="59"/>
      <c r="W431" s="53"/>
      <c r="X431" s="59"/>
      <c r="Y431" s="53"/>
      <c r="Z431" s="59"/>
    </row>
    <row r="432" spans="7:26" s="6" customFormat="1" x14ac:dyDescent="0.25">
      <c r="G432" s="59"/>
      <c r="H432" s="59"/>
      <c r="I432" s="32"/>
      <c r="J432" s="28"/>
      <c r="K432" s="28"/>
      <c r="L432" s="28"/>
      <c r="M432" s="28"/>
      <c r="N432" s="28"/>
      <c r="O432" s="28"/>
      <c r="P432" s="28"/>
      <c r="Q432" s="53"/>
      <c r="R432" s="59"/>
      <c r="S432" s="53"/>
      <c r="T432" s="59"/>
      <c r="U432" s="53"/>
      <c r="V432" s="59"/>
      <c r="W432" s="53"/>
      <c r="X432" s="59"/>
      <c r="Y432" s="53"/>
      <c r="Z432" s="59"/>
    </row>
    <row r="433" spans="7:26" s="6" customFormat="1" x14ac:dyDescent="0.25">
      <c r="G433" s="59"/>
      <c r="H433" s="59"/>
      <c r="I433" s="32"/>
      <c r="J433" s="28"/>
      <c r="K433" s="28"/>
      <c r="L433" s="28"/>
      <c r="M433" s="28"/>
      <c r="N433" s="28"/>
      <c r="O433" s="28"/>
      <c r="P433" s="28"/>
      <c r="Q433" s="53"/>
      <c r="R433" s="59"/>
      <c r="S433" s="53"/>
      <c r="T433" s="59"/>
      <c r="U433" s="53"/>
      <c r="V433" s="59"/>
      <c r="W433" s="53"/>
      <c r="X433" s="59"/>
      <c r="Y433" s="53"/>
      <c r="Z433" s="59"/>
    </row>
    <row r="434" spans="7:26" s="6" customFormat="1" x14ac:dyDescent="0.25">
      <c r="G434" s="59"/>
      <c r="H434" s="59"/>
      <c r="I434" s="32"/>
      <c r="J434" s="28"/>
      <c r="K434" s="28"/>
      <c r="L434" s="28"/>
      <c r="M434" s="28"/>
      <c r="N434" s="28"/>
      <c r="O434" s="28"/>
      <c r="P434" s="28"/>
      <c r="Q434" s="53"/>
      <c r="R434" s="59"/>
      <c r="S434" s="53"/>
      <c r="T434" s="59"/>
      <c r="U434" s="53"/>
      <c r="V434" s="59"/>
      <c r="W434" s="53"/>
      <c r="X434" s="59"/>
      <c r="Y434" s="53"/>
      <c r="Z434" s="59"/>
    </row>
    <row r="435" spans="7:26" s="6" customFormat="1" x14ac:dyDescent="0.25">
      <c r="G435" s="59"/>
      <c r="H435" s="59"/>
      <c r="I435" s="32"/>
      <c r="J435" s="28"/>
      <c r="K435" s="28"/>
      <c r="L435" s="28"/>
      <c r="M435" s="28"/>
      <c r="N435" s="28"/>
      <c r="O435" s="28"/>
      <c r="P435" s="28"/>
      <c r="Q435" s="53"/>
      <c r="R435" s="59"/>
      <c r="S435" s="53"/>
      <c r="T435" s="59"/>
      <c r="U435" s="53"/>
      <c r="V435" s="59"/>
      <c r="W435" s="53"/>
      <c r="X435" s="59"/>
      <c r="Y435" s="53"/>
      <c r="Z435" s="59"/>
    </row>
    <row r="436" spans="7:26" s="6" customFormat="1" x14ac:dyDescent="0.25">
      <c r="G436" s="59"/>
      <c r="H436" s="59"/>
      <c r="I436" s="32"/>
      <c r="J436" s="28"/>
      <c r="K436" s="28"/>
      <c r="L436" s="28"/>
      <c r="M436" s="28"/>
      <c r="N436" s="28"/>
      <c r="O436" s="28"/>
      <c r="P436" s="28"/>
      <c r="Q436" s="53"/>
      <c r="R436" s="59"/>
      <c r="S436" s="53"/>
      <c r="T436" s="59"/>
      <c r="U436" s="53"/>
      <c r="V436" s="59"/>
      <c r="W436" s="53"/>
      <c r="X436" s="59"/>
      <c r="Y436" s="53"/>
      <c r="Z436" s="59"/>
    </row>
    <row r="437" spans="7:26" s="6" customFormat="1" x14ac:dyDescent="0.25">
      <c r="G437" s="59"/>
      <c r="H437" s="59"/>
      <c r="I437" s="32"/>
      <c r="J437" s="28"/>
      <c r="K437" s="28"/>
      <c r="L437" s="28"/>
      <c r="M437" s="28"/>
      <c r="N437" s="28"/>
      <c r="O437" s="28"/>
      <c r="P437" s="28"/>
      <c r="Q437" s="53"/>
      <c r="R437" s="59"/>
      <c r="S437" s="53"/>
      <c r="T437" s="59"/>
      <c r="U437" s="53"/>
      <c r="V437" s="59"/>
      <c r="W437" s="53"/>
      <c r="X437" s="59"/>
      <c r="Y437" s="53"/>
      <c r="Z437" s="59"/>
    </row>
    <row r="438" spans="7:26" s="6" customFormat="1" x14ac:dyDescent="0.25">
      <c r="G438" s="59"/>
      <c r="H438" s="59"/>
      <c r="I438" s="32"/>
      <c r="J438" s="28"/>
      <c r="K438" s="28"/>
      <c r="L438" s="28"/>
      <c r="M438" s="28"/>
      <c r="N438" s="28"/>
      <c r="O438" s="28"/>
      <c r="P438" s="28"/>
      <c r="Q438" s="53"/>
      <c r="R438" s="59"/>
      <c r="S438" s="53"/>
      <c r="T438" s="59"/>
      <c r="U438" s="53"/>
      <c r="V438" s="59"/>
      <c r="W438" s="53"/>
      <c r="X438" s="59"/>
      <c r="Y438" s="53"/>
      <c r="Z438" s="59"/>
    </row>
    <row r="439" spans="7:26" s="6" customFormat="1" x14ac:dyDescent="0.25">
      <c r="G439" s="59"/>
      <c r="H439" s="59"/>
      <c r="I439" s="32"/>
      <c r="J439" s="28"/>
      <c r="K439" s="28"/>
      <c r="L439" s="28"/>
      <c r="M439" s="28"/>
      <c r="N439" s="28"/>
      <c r="O439" s="28"/>
      <c r="P439" s="28"/>
      <c r="Q439" s="53"/>
      <c r="R439" s="59"/>
      <c r="S439" s="53"/>
      <c r="T439" s="59"/>
      <c r="U439" s="53"/>
      <c r="V439" s="59"/>
      <c r="W439" s="53"/>
      <c r="X439" s="59"/>
      <c r="Y439" s="53"/>
      <c r="Z439" s="59"/>
    </row>
    <row r="440" spans="7:26" s="6" customFormat="1" x14ac:dyDescent="0.25">
      <c r="G440" s="59"/>
      <c r="H440" s="59"/>
      <c r="I440" s="32"/>
      <c r="J440" s="28"/>
      <c r="K440" s="28"/>
      <c r="L440" s="28"/>
      <c r="M440" s="28"/>
      <c r="N440" s="28"/>
      <c r="O440" s="28"/>
      <c r="P440" s="28"/>
      <c r="Q440" s="53"/>
      <c r="R440" s="59"/>
      <c r="S440" s="53"/>
      <c r="T440" s="59"/>
      <c r="U440" s="53"/>
      <c r="V440" s="59"/>
      <c r="W440" s="53"/>
      <c r="X440" s="59"/>
      <c r="Y440" s="53"/>
      <c r="Z440" s="59"/>
    </row>
    <row r="441" spans="7:26" s="6" customFormat="1" x14ac:dyDescent="0.25">
      <c r="G441" s="59"/>
      <c r="H441" s="59"/>
      <c r="I441" s="32"/>
      <c r="J441" s="28"/>
      <c r="K441" s="28"/>
      <c r="L441" s="28"/>
      <c r="M441" s="28"/>
      <c r="N441" s="28"/>
      <c r="O441" s="28"/>
      <c r="P441" s="28"/>
      <c r="Q441" s="53"/>
      <c r="R441" s="59"/>
      <c r="S441" s="53"/>
      <c r="T441" s="59"/>
      <c r="U441" s="53"/>
      <c r="V441" s="59"/>
      <c r="W441" s="53"/>
      <c r="X441" s="59"/>
      <c r="Y441" s="53"/>
      <c r="Z441" s="59"/>
    </row>
    <row r="442" spans="7:26" s="6" customFormat="1" x14ac:dyDescent="0.25">
      <c r="G442" s="59"/>
      <c r="H442" s="59"/>
      <c r="I442" s="32"/>
      <c r="J442" s="28"/>
      <c r="K442" s="28"/>
      <c r="L442" s="28"/>
      <c r="M442" s="28"/>
      <c r="N442" s="28"/>
      <c r="O442" s="28"/>
      <c r="P442" s="28"/>
      <c r="Q442" s="53"/>
      <c r="R442" s="59"/>
      <c r="S442" s="53"/>
      <c r="T442" s="59"/>
      <c r="U442" s="53"/>
      <c r="V442" s="59"/>
      <c r="W442" s="53"/>
      <c r="X442" s="59"/>
      <c r="Y442" s="53"/>
      <c r="Z442" s="59"/>
    </row>
    <row r="443" spans="7:26" s="6" customFormat="1" x14ac:dyDescent="0.25">
      <c r="G443" s="59"/>
      <c r="H443" s="59"/>
      <c r="I443" s="32"/>
      <c r="J443" s="28"/>
      <c r="K443" s="28"/>
      <c r="L443" s="28"/>
      <c r="M443" s="28"/>
      <c r="N443" s="28"/>
      <c r="O443" s="28"/>
      <c r="P443" s="28"/>
      <c r="Q443" s="53"/>
      <c r="R443" s="59"/>
      <c r="S443" s="53"/>
      <c r="T443" s="59"/>
      <c r="U443" s="53"/>
      <c r="V443" s="59"/>
      <c r="W443" s="53"/>
      <c r="X443" s="59"/>
      <c r="Y443" s="53"/>
      <c r="Z443" s="59"/>
    </row>
    <row r="444" spans="7:26" s="6" customFormat="1" x14ac:dyDescent="0.25">
      <c r="G444" s="59"/>
      <c r="H444" s="59"/>
      <c r="I444" s="32"/>
      <c r="J444" s="28"/>
      <c r="K444" s="28"/>
      <c r="L444" s="28"/>
      <c r="M444" s="28"/>
      <c r="N444" s="28"/>
      <c r="O444" s="28"/>
      <c r="P444" s="28"/>
      <c r="Q444" s="53"/>
      <c r="R444" s="59"/>
      <c r="S444" s="53"/>
      <c r="T444" s="59"/>
      <c r="U444" s="53"/>
      <c r="V444" s="59"/>
      <c r="W444" s="53"/>
      <c r="X444" s="59"/>
      <c r="Y444" s="53"/>
      <c r="Z444" s="59"/>
    </row>
    <row r="445" spans="7:26" s="6" customFormat="1" x14ac:dyDescent="0.25">
      <c r="G445" s="59"/>
      <c r="H445" s="59"/>
      <c r="I445" s="32"/>
      <c r="J445" s="28"/>
      <c r="K445" s="28"/>
      <c r="L445" s="28"/>
      <c r="M445" s="28"/>
      <c r="N445" s="28"/>
      <c r="O445" s="28"/>
      <c r="P445" s="28"/>
      <c r="Q445" s="53"/>
      <c r="R445" s="59"/>
      <c r="S445" s="53"/>
      <c r="T445" s="59"/>
      <c r="U445" s="53"/>
      <c r="V445" s="59"/>
      <c r="W445" s="53"/>
      <c r="X445" s="59"/>
      <c r="Y445" s="53"/>
      <c r="Z445" s="59"/>
    </row>
    <row r="446" spans="7:26" s="6" customFormat="1" x14ac:dyDescent="0.25">
      <c r="G446" s="59"/>
      <c r="H446" s="59"/>
      <c r="I446" s="32"/>
      <c r="J446" s="28"/>
      <c r="K446" s="28"/>
      <c r="L446" s="28"/>
      <c r="M446" s="28"/>
      <c r="N446" s="28"/>
      <c r="O446" s="28"/>
      <c r="P446" s="28"/>
      <c r="Q446" s="53"/>
      <c r="R446" s="59"/>
      <c r="S446" s="53"/>
      <c r="T446" s="59"/>
      <c r="U446" s="53"/>
      <c r="V446" s="59"/>
      <c r="W446" s="53"/>
      <c r="X446" s="59"/>
      <c r="Y446" s="53"/>
      <c r="Z446" s="59"/>
    </row>
    <row r="447" spans="7:26" s="6" customFormat="1" x14ac:dyDescent="0.25">
      <c r="G447" s="59"/>
      <c r="H447" s="59"/>
      <c r="I447" s="32"/>
      <c r="J447" s="28"/>
      <c r="K447" s="28"/>
      <c r="L447" s="28"/>
      <c r="M447" s="28"/>
      <c r="N447" s="28"/>
      <c r="O447" s="28"/>
      <c r="P447" s="28"/>
      <c r="Q447" s="53"/>
      <c r="R447" s="59"/>
      <c r="S447" s="53"/>
      <c r="T447" s="59"/>
      <c r="U447" s="53"/>
      <c r="V447" s="59"/>
      <c r="W447" s="53"/>
      <c r="X447" s="59"/>
      <c r="Y447" s="53"/>
      <c r="Z447" s="59"/>
    </row>
    <row r="448" spans="7:26" s="6" customFormat="1" x14ac:dyDescent="0.25">
      <c r="G448" s="59"/>
      <c r="H448" s="59"/>
      <c r="I448" s="32"/>
      <c r="J448" s="28"/>
      <c r="K448" s="28"/>
      <c r="L448" s="28"/>
      <c r="M448" s="28"/>
      <c r="N448" s="28"/>
      <c r="O448" s="28"/>
      <c r="P448" s="28"/>
      <c r="Q448" s="53"/>
      <c r="R448" s="59"/>
      <c r="S448" s="53"/>
      <c r="T448" s="59"/>
      <c r="U448" s="53"/>
      <c r="V448" s="59"/>
      <c r="W448" s="53"/>
      <c r="X448" s="59"/>
      <c r="Y448" s="53"/>
      <c r="Z448" s="59"/>
    </row>
    <row r="449" spans="7:26" s="6" customFormat="1" x14ac:dyDescent="0.25">
      <c r="G449" s="59"/>
      <c r="H449" s="59"/>
      <c r="I449" s="32"/>
      <c r="J449" s="28"/>
      <c r="K449" s="28"/>
      <c r="L449" s="28"/>
      <c r="M449" s="28"/>
      <c r="N449" s="28"/>
      <c r="O449" s="28"/>
      <c r="P449" s="28"/>
      <c r="Q449" s="53"/>
      <c r="R449" s="59"/>
      <c r="S449" s="53"/>
      <c r="T449" s="59"/>
      <c r="U449" s="53"/>
      <c r="V449" s="59"/>
      <c r="W449" s="53"/>
      <c r="X449" s="59"/>
      <c r="Y449" s="53"/>
      <c r="Z449" s="59"/>
    </row>
    <row r="450" spans="7:26" s="6" customFormat="1" x14ac:dyDescent="0.25">
      <c r="G450" s="59"/>
      <c r="H450" s="59"/>
      <c r="I450" s="32"/>
      <c r="J450" s="28"/>
      <c r="K450" s="28"/>
      <c r="L450" s="28"/>
      <c r="M450" s="28"/>
      <c r="N450" s="28"/>
      <c r="O450" s="28"/>
      <c r="P450" s="28"/>
      <c r="Q450" s="53"/>
      <c r="R450" s="59"/>
      <c r="S450" s="53"/>
      <c r="T450" s="59"/>
      <c r="U450" s="53"/>
      <c r="V450" s="59"/>
      <c r="W450" s="53"/>
      <c r="X450" s="59"/>
      <c r="Y450" s="53"/>
      <c r="Z450" s="59"/>
    </row>
    <row r="451" spans="7:26" s="6" customFormat="1" x14ac:dyDescent="0.25">
      <c r="G451" s="59"/>
      <c r="H451" s="59"/>
      <c r="I451" s="32"/>
      <c r="J451" s="28"/>
      <c r="K451" s="28"/>
      <c r="L451" s="28"/>
      <c r="M451" s="28"/>
      <c r="N451" s="28"/>
      <c r="O451" s="28"/>
      <c r="P451" s="28"/>
      <c r="Q451" s="53"/>
      <c r="R451" s="59"/>
      <c r="S451" s="53"/>
      <c r="T451" s="59"/>
      <c r="U451" s="53"/>
      <c r="V451" s="59"/>
      <c r="W451" s="53"/>
      <c r="X451" s="59"/>
      <c r="Y451" s="53"/>
      <c r="Z451" s="59"/>
    </row>
    <row r="452" spans="7:26" s="6" customFormat="1" x14ac:dyDescent="0.25">
      <c r="G452" s="59"/>
      <c r="H452" s="59"/>
      <c r="I452" s="32"/>
      <c r="J452" s="28"/>
      <c r="K452" s="28"/>
      <c r="L452" s="28"/>
      <c r="M452" s="28"/>
      <c r="N452" s="28"/>
      <c r="O452" s="28"/>
      <c r="P452" s="28"/>
      <c r="Q452" s="53"/>
      <c r="R452" s="59"/>
      <c r="S452" s="53"/>
      <c r="T452" s="59"/>
      <c r="U452" s="53"/>
      <c r="V452" s="59"/>
      <c r="W452" s="53"/>
      <c r="X452" s="59"/>
      <c r="Y452" s="53"/>
      <c r="Z452" s="59"/>
    </row>
    <row r="453" spans="7:26" s="6" customFormat="1" x14ac:dyDescent="0.25">
      <c r="G453" s="59"/>
      <c r="H453" s="59"/>
      <c r="I453" s="32"/>
      <c r="J453" s="28"/>
      <c r="K453" s="28"/>
      <c r="L453" s="28"/>
      <c r="M453" s="28"/>
      <c r="N453" s="28"/>
      <c r="O453" s="28"/>
      <c r="P453" s="28"/>
      <c r="Q453" s="53"/>
      <c r="R453" s="59"/>
      <c r="S453" s="53"/>
      <c r="T453" s="59"/>
      <c r="U453" s="53"/>
      <c r="V453" s="59"/>
      <c r="W453" s="53"/>
      <c r="X453" s="59"/>
      <c r="Y453" s="53"/>
      <c r="Z453" s="59"/>
    </row>
    <row r="454" spans="7:26" s="6" customFormat="1" x14ac:dyDescent="0.25">
      <c r="G454" s="59"/>
      <c r="H454" s="59"/>
      <c r="I454" s="32"/>
      <c r="J454" s="28"/>
      <c r="K454" s="28"/>
      <c r="L454" s="28"/>
      <c r="M454" s="28"/>
      <c r="N454" s="28"/>
      <c r="O454" s="28"/>
      <c r="P454" s="28"/>
      <c r="Q454" s="53"/>
      <c r="R454" s="59"/>
      <c r="S454" s="53"/>
      <c r="T454" s="59"/>
      <c r="U454" s="53"/>
      <c r="V454" s="59"/>
      <c r="W454" s="53"/>
      <c r="X454" s="59"/>
      <c r="Y454" s="53"/>
      <c r="Z454" s="59"/>
    </row>
    <row r="455" spans="7:26" s="6" customFormat="1" x14ac:dyDescent="0.25">
      <c r="G455" s="59"/>
      <c r="H455" s="59"/>
      <c r="I455" s="32"/>
      <c r="J455" s="28"/>
      <c r="K455" s="28"/>
      <c r="L455" s="28"/>
      <c r="M455" s="28"/>
      <c r="N455" s="28"/>
      <c r="O455" s="28"/>
      <c r="P455" s="28"/>
      <c r="Q455" s="53"/>
      <c r="R455" s="59"/>
      <c r="S455" s="53"/>
      <c r="T455" s="59"/>
      <c r="U455" s="53"/>
      <c r="V455" s="59"/>
      <c r="W455" s="53"/>
      <c r="X455" s="59"/>
      <c r="Y455" s="53"/>
      <c r="Z455" s="59"/>
    </row>
    <row r="456" spans="7:26" s="6" customFormat="1" x14ac:dyDescent="0.25">
      <c r="G456" s="59"/>
      <c r="H456" s="59"/>
      <c r="I456" s="32"/>
      <c r="J456" s="28"/>
      <c r="K456" s="28"/>
      <c r="L456" s="28"/>
      <c r="M456" s="28"/>
      <c r="N456" s="28"/>
      <c r="O456" s="28"/>
      <c r="P456" s="28"/>
      <c r="Q456" s="53"/>
      <c r="R456" s="59"/>
      <c r="S456" s="53"/>
      <c r="T456" s="59"/>
      <c r="U456" s="53"/>
      <c r="V456" s="59"/>
      <c r="W456" s="53"/>
      <c r="X456" s="59"/>
      <c r="Y456" s="53"/>
      <c r="Z456" s="59"/>
    </row>
    <row r="457" spans="7:26" s="6" customFormat="1" x14ac:dyDescent="0.25">
      <c r="G457" s="59"/>
      <c r="H457" s="59"/>
      <c r="I457" s="32"/>
      <c r="J457" s="28"/>
      <c r="K457" s="28"/>
      <c r="L457" s="28"/>
      <c r="M457" s="28"/>
      <c r="N457" s="28"/>
      <c r="O457" s="28"/>
      <c r="P457" s="28"/>
      <c r="Q457" s="53"/>
      <c r="R457" s="59"/>
      <c r="S457" s="53"/>
      <c r="T457" s="59"/>
      <c r="U457" s="53"/>
      <c r="V457" s="59"/>
      <c r="W457" s="53"/>
      <c r="X457" s="59"/>
      <c r="Y457" s="53"/>
      <c r="Z457" s="59"/>
    </row>
    <row r="458" spans="7:26" s="6" customFormat="1" x14ac:dyDescent="0.25">
      <c r="G458" s="59"/>
      <c r="H458" s="59"/>
      <c r="I458" s="32"/>
      <c r="J458" s="28"/>
      <c r="K458" s="28"/>
      <c r="L458" s="28"/>
      <c r="M458" s="28"/>
      <c r="N458" s="28"/>
      <c r="O458" s="28"/>
      <c r="P458" s="28"/>
      <c r="Q458" s="53"/>
      <c r="R458" s="59"/>
      <c r="S458" s="53"/>
      <c r="T458" s="59"/>
      <c r="U458" s="53"/>
      <c r="V458" s="59"/>
      <c r="W458" s="53"/>
      <c r="X458" s="59"/>
      <c r="Y458" s="53"/>
      <c r="Z458" s="59"/>
    </row>
    <row r="459" spans="7:26" s="6" customFormat="1" x14ac:dyDescent="0.25">
      <c r="G459" s="59"/>
      <c r="H459" s="59"/>
      <c r="I459" s="32"/>
      <c r="J459" s="28"/>
      <c r="K459" s="28"/>
      <c r="L459" s="28"/>
      <c r="M459" s="28"/>
      <c r="N459" s="28"/>
      <c r="O459" s="28"/>
      <c r="P459" s="28"/>
      <c r="Q459" s="53"/>
      <c r="R459" s="59"/>
      <c r="S459" s="53"/>
      <c r="T459" s="59"/>
      <c r="U459" s="53"/>
      <c r="V459" s="59"/>
      <c r="W459" s="53"/>
      <c r="X459" s="59"/>
      <c r="Y459" s="53"/>
      <c r="Z459" s="59"/>
    </row>
    <row r="460" spans="7:26" s="6" customFormat="1" x14ac:dyDescent="0.25">
      <c r="G460" s="59"/>
      <c r="H460" s="59"/>
      <c r="I460" s="32"/>
      <c r="J460" s="28"/>
      <c r="K460" s="28"/>
      <c r="L460" s="28"/>
      <c r="M460" s="28"/>
      <c r="N460" s="28"/>
      <c r="O460" s="28"/>
      <c r="P460" s="28"/>
      <c r="Q460" s="53"/>
      <c r="R460" s="59"/>
      <c r="S460" s="53"/>
      <c r="T460" s="59"/>
      <c r="U460" s="53"/>
      <c r="V460" s="59"/>
      <c r="W460" s="53"/>
      <c r="X460" s="59"/>
      <c r="Y460" s="53"/>
      <c r="Z460" s="59"/>
    </row>
    <row r="461" spans="7:26" s="6" customFormat="1" x14ac:dyDescent="0.25">
      <c r="G461" s="59"/>
      <c r="H461" s="59"/>
      <c r="I461" s="32"/>
      <c r="J461" s="28"/>
      <c r="K461" s="28"/>
      <c r="L461" s="28"/>
      <c r="M461" s="28"/>
      <c r="N461" s="28"/>
      <c r="O461" s="28"/>
      <c r="P461" s="28"/>
      <c r="Q461" s="53"/>
      <c r="R461" s="59"/>
      <c r="S461" s="53"/>
      <c r="T461" s="59"/>
      <c r="U461" s="53"/>
      <c r="V461" s="59"/>
      <c r="W461" s="53"/>
      <c r="X461" s="59"/>
      <c r="Y461" s="53"/>
      <c r="Z461" s="59"/>
    </row>
    <row r="462" spans="7:26" s="6" customFormat="1" x14ac:dyDescent="0.25">
      <c r="G462" s="59"/>
      <c r="H462" s="59"/>
      <c r="I462" s="32"/>
      <c r="J462" s="28"/>
      <c r="K462" s="28"/>
      <c r="L462" s="28"/>
      <c r="M462" s="28"/>
      <c r="N462" s="28"/>
      <c r="O462" s="28"/>
      <c r="P462" s="28"/>
      <c r="Q462" s="53"/>
      <c r="R462" s="59"/>
      <c r="S462" s="53"/>
      <c r="T462" s="59"/>
      <c r="U462" s="53"/>
      <c r="V462" s="59"/>
      <c r="W462" s="53"/>
      <c r="X462" s="59"/>
      <c r="Y462" s="53"/>
      <c r="Z462" s="59"/>
    </row>
    <row r="463" spans="7:26" s="6" customFormat="1" x14ac:dyDescent="0.25">
      <c r="G463" s="59"/>
      <c r="H463" s="59"/>
      <c r="I463" s="32"/>
      <c r="J463" s="28"/>
      <c r="K463" s="28"/>
      <c r="L463" s="28"/>
      <c r="M463" s="28"/>
      <c r="N463" s="28"/>
      <c r="O463" s="28"/>
      <c r="P463" s="28"/>
      <c r="Q463" s="53"/>
      <c r="R463" s="59"/>
      <c r="S463" s="53"/>
      <c r="T463" s="59"/>
      <c r="U463" s="53"/>
      <c r="V463" s="59"/>
      <c r="W463" s="53"/>
      <c r="X463" s="59"/>
      <c r="Y463" s="53"/>
      <c r="Z463" s="59"/>
    </row>
    <row r="464" spans="7:26" s="6" customFormat="1" x14ac:dyDescent="0.25">
      <c r="G464" s="59"/>
      <c r="H464" s="59"/>
      <c r="I464" s="32"/>
      <c r="J464" s="28"/>
      <c r="K464" s="28"/>
      <c r="L464" s="28"/>
      <c r="M464" s="28"/>
      <c r="N464" s="28"/>
      <c r="O464" s="28"/>
      <c r="P464" s="28"/>
      <c r="Q464" s="53"/>
      <c r="R464" s="59"/>
      <c r="S464" s="53"/>
      <c r="T464" s="59"/>
      <c r="U464" s="53"/>
      <c r="V464" s="59"/>
      <c r="W464" s="53"/>
      <c r="X464" s="59"/>
      <c r="Y464" s="53"/>
      <c r="Z464" s="59"/>
    </row>
    <row r="465" spans="1:26" s="6" customFormat="1" x14ac:dyDescent="0.25">
      <c r="G465" s="59"/>
      <c r="H465" s="59"/>
      <c r="I465" s="32"/>
      <c r="J465" s="28"/>
      <c r="K465" s="28"/>
      <c r="L465" s="28"/>
      <c r="M465" s="28"/>
      <c r="N465" s="28"/>
      <c r="O465" s="28"/>
      <c r="P465" s="28"/>
      <c r="Q465" s="53"/>
      <c r="R465" s="59"/>
      <c r="S465" s="53"/>
      <c r="T465" s="59"/>
      <c r="U465" s="53"/>
      <c r="V465" s="59"/>
      <c r="W465" s="53"/>
      <c r="X465" s="59"/>
      <c r="Y465" s="53"/>
      <c r="Z465" s="59"/>
    </row>
    <row r="466" spans="1:26" s="6" customFormat="1" x14ac:dyDescent="0.25">
      <c r="G466" s="59"/>
      <c r="H466" s="59"/>
      <c r="I466" s="32"/>
      <c r="J466" s="28"/>
      <c r="K466" s="28"/>
      <c r="L466" s="28"/>
      <c r="M466" s="28"/>
      <c r="N466" s="28"/>
      <c r="O466" s="28"/>
      <c r="P466" s="28"/>
      <c r="Q466" s="53"/>
      <c r="R466" s="59"/>
      <c r="S466" s="53"/>
      <c r="T466" s="59"/>
      <c r="U466" s="53"/>
      <c r="V466" s="59"/>
      <c r="W466" s="53"/>
      <c r="X466" s="59"/>
      <c r="Y466" s="53"/>
      <c r="Z466" s="59"/>
    </row>
    <row r="467" spans="1:26" s="6" customFormat="1" x14ac:dyDescent="0.25">
      <c r="G467" s="59"/>
      <c r="H467" s="59"/>
      <c r="I467" s="32"/>
      <c r="J467" s="28"/>
      <c r="K467" s="28"/>
      <c r="L467" s="28"/>
      <c r="M467" s="28"/>
      <c r="N467" s="28"/>
      <c r="O467" s="28"/>
      <c r="P467" s="28"/>
      <c r="Q467" s="53"/>
      <c r="R467" s="59"/>
      <c r="S467" s="53"/>
      <c r="T467" s="59"/>
      <c r="U467" s="53"/>
      <c r="V467" s="59"/>
      <c r="W467" s="53"/>
      <c r="X467" s="59"/>
      <c r="Y467" s="53"/>
      <c r="Z467" s="59"/>
    </row>
    <row r="468" spans="1:26" s="6" customFormat="1" x14ac:dyDescent="0.25">
      <c r="G468" s="59"/>
      <c r="H468" s="59"/>
      <c r="I468" s="32"/>
      <c r="J468" s="28"/>
      <c r="K468" s="28"/>
      <c r="L468" s="28"/>
      <c r="M468" s="28"/>
      <c r="N468" s="28"/>
      <c r="O468" s="28"/>
      <c r="P468" s="28"/>
      <c r="Q468" s="53"/>
      <c r="R468" s="59"/>
      <c r="S468" s="53"/>
      <c r="T468" s="59"/>
      <c r="U468" s="53"/>
      <c r="V468" s="59"/>
      <c r="W468" s="53"/>
      <c r="X468" s="59"/>
      <c r="Y468" s="53"/>
      <c r="Z468" s="59"/>
    </row>
    <row r="469" spans="1:26" s="6" customFormat="1" x14ac:dyDescent="0.25">
      <c r="G469" s="59"/>
      <c r="H469" s="59"/>
      <c r="I469" s="32"/>
      <c r="J469" s="28"/>
      <c r="K469" s="28"/>
      <c r="L469" s="28"/>
      <c r="M469" s="28"/>
      <c r="N469" s="28"/>
      <c r="O469" s="28"/>
      <c r="P469" s="28"/>
      <c r="Q469" s="53"/>
      <c r="R469" s="59"/>
      <c r="S469" s="53"/>
      <c r="T469" s="59"/>
      <c r="U469" s="53"/>
      <c r="V469" s="59"/>
      <c r="W469" s="53"/>
      <c r="X469" s="59"/>
      <c r="Y469" s="53"/>
      <c r="Z469" s="59"/>
    </row>
    <row r="470" spans="1:26" s="6" customFormat="1" x14ac:dyDescent="0.25">
      <c r="G470" s="59"/>
      <c r="H470" s="59"/>
      <c r="I470" s="32"/>
      <c r="J470" s="28"/>
      <c r="K470" s="28"/>
      <c r="L470" s="28"/>
      <c r="M470" s="28"/>
      <c r="N470" s="28"/>
      <c r="O470" s="28"/>
      <c r="P470" s="28"/>
      <c r="Q470" s="53"/>
      <c r="R470" s="59"/>
      <c r="S470" s="53"/>
      <c r="T470" s="59"/>
      <c r="U470" s="53"/>
      <c r="V470" s="59"/>
      <c r="W470" s="53"/>
      <c r="X470" s="59"/>
      <c r="Y470" s="53"/>
      <c r="Z470" s="59"/>
    </row>
    <row r="471" spans="1:26" s="6" customFormat="1" x14ac:dyDescent="0.25">
      <c r="G471" s="59"/>
      <c r="H471" s="59"/>
      <c r="I471" s="32"/>
      <c r="J471" s="28"/>
      <c r="K471" s="28"/>
      <c r="L471" s="28"/>
      <c r="M471" s="28"/>
      <c r="N471" s="28"/>
      <c r="O471" s="28"/>
      <c r="P471" s="28"/>
      <c r="Q471" s="53"/>
      <c r="R471" s="59"/>
      <c r="S471" s="53"/>
      <c r="T471" s="59"/>
      <c r="U471" s="53"/>
      <c r="V471" s="59"/>
      <c r="W471" s="53"/>
      <c r="X471" s="59"/>
      <c r="Y471" s="53"/>
      <c r="Z471" s="59"/>
    </row>
    <row r="472" spans="1:26" s="6" customFormat="1" x14ac:dyDescent="0.25">
      <c r="G472" s="59"/>
      <c r="H472" s="59"/>
      <c r="I472" s="32"/>
      <c r="J472" s="28"/>
      <c r="K472" s="28"/>
      <c r="L472" s="28"/>
      <c r="M472" s="28"/>
      <c r="N472" s="28"/>
      <c r="O472" s="28"/>
      <c r="P472" s="28"/>
      <c r="Q472" s="53"/>
      <c r="R472" s="59"/>
      <c r="S472" s="53"/>
      <c r="T472" s="59"/>
      <c r="U472" s="53"/>
      <c r="V472" s="59"/>
      <c r="W472" s="53"/>
      <c r="X472" s="59"/>
      <c r="Y472" s="53"/>
      <c r="Z472" s="59"/>
    </row>
    <row r="473" spans="1:26" s="6" customFormat="1" x14ac:dyDescent="0.25">
      <c r="G473" s="59"/>
      <c r="H473" s="59"/>
      <c r="I473" s="32"/>
      <c r="J473" s="28"/>
      <c r="K473" s="28"/>
      <c r="L473" s="28"/>
      <c r="M473" s="28"/>
      <c r="N473" s="28"/>
      <c r="O473" s="28"/>
      <c r="P473" s="28"/>
      <c r="Q473" s="53"/>
      <c r="R473" s="59"/>
      <c r="S473" s="53"/>
      <c r="T473" s="59"/>
      <c r="U473" s="53"/>
      <c r="V473" s="59"/>
      <c r="W473" s="53"/>
      <c r="X473" s="59"/>
      <c r="Y473" s="53"/>
      <c r="Z473" s="59"/>
    </row>
    <row r="474" spans="1:26" s="6" customFormat="1" x14ac:dyDescent="0.25">
      <c r="A474" s="125"/>
      <c r="B474" s="125"/>
      <c r="C474" s="127"/>
      <c r="D474" s="125"/>
      <c r="E474" s="125"/>
      <c r="F474" s="232"/>
      <c r="G474" s="138"/>
      <c r="H474" s="125"/>
      <c r="I474" s="125"/>
      <c r="J474" s="126"/>
      <c r="K474" s="126"/>
      <c r="L474" s="125"/>
      <c r="M474" s="126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</row>
    <row r="475" spans="1:26" s="50" customFormat="1" ht="18.75" x14ac:dyDescent="0.3">
      <c r="C475" s="51" t="s">
        <v>218</v>
      </c>
      <c r="F475" s="65"/>
      <c r="G475" s="65">
        <f>SUM(G474:G474)</f>
        <v>0</v>
      </c>
      <c r="H475" s="65"/>
      <c r="I475" s="189" t="s">
        <v>222</v>
      </c>
      <c r="K475" s="52"/>
      <c r="L475" s="52"/>
      <c r="M475" s="52"/>
      <c r="N475" s="52"/>
      <c r="O475" s="52"/>
      <c r="P475" s="52"/>
      <c r="Q475" s="109"/>
      <c r="R475" s="65">
        <f>SUM(R474:R474)</f>
        <v>0</v>
      </c>
      <c r="S475" s="109"/>
      <c r="T475" s="65">
        <f>SUM(T474:T474)</f>
        <v>0</v>
      </c>
      <c r="U475" s="109"/>
      <c r="V475" s="65">
        <f>SUM(V474:V474)</f>
        <v>0</v>
      </c>
      <c r="W475" s="109"/>
      <c r="X475" s="65">
        <f>SUM(X474:X474)</f>
        <v>0</v>
      </c>
      <c r="Y475" s="109"/>
      <c r="Z475" s="65">
        <f>SUM(Z474:Z474)</f>
        <v>0</v>
      </c>
    </row>
    <row r="476" spans="1:26" s="6" customFormat="1" x14ac:dyDescent="0.25">
      <c r="G476" s="59"/>
      <c r="H476" s="59"/>
      <c r="I476" s="102"/>
      <c r="J476" s="28"/>
      <c r="K476" s="28"/>
      <c r="L476" s="28"/>
      <c r="M476" s="28"/>
      <c r="N476" s="28"/>
      <c r="O476" s="28"/>
      <c r="P476" s="28"/>
      <c r="Q476" s="53"/>
      <c r="R476" s="59"/>
      <c r="S476" s="53"/>
      <c r="T476" s="59"/>
      <c r="U476" s="53"/>
      <c r="V476" s="59"/>
      <c r="W476" s="53"/>
      <c r="X476" s="59"/>
      <c r="Y476" s="53"/>
      <c r="Z476" s="59"/>
    </row>
    <row r="477" spans="1:26" s="6" customFormat="1" x14ac:dyDescent="0.25">
      <c r="C477" s="107" t="s">
        <v>223</v>
      </c>
      <c r="D477" s="6" t="e">
        <f>#REF!+#REF!+#REF!+'5 -Mat. Pesado'!#REF!+A474</f>
        <v>#REF!</v>
      </c>
      <c r="G477" s="59"/>
      <c r="H477" s="59"/>
      <c r="I477" s="59"/>
      <c r="J477" s="116" t="s">
        <v>220</v>
      </c>
      <c r="K477" s="189" t="e">
        <f>#REF!+#REF!+#REF!+#REF!+G475</f>
        <v>#REF!</v>
      </c>
      <c r="L477" s="189"/>
      <c r="M477" s="28"/>
      <c r="O477" s="28"/>
      <c r="P477" s="28"/>
      <c r="Q477" s="53"/>
      <c r="R477" s="59"/>
      <c r="S477" s="53"/>
      <c r="T477" s="59"/>
      <c r="U477" s="53"/>
      <c r="V477" s="59"/>
      <c r="W477" s="53"/>
      <c r="X477" s="59"/>
      <c r="Y477" s="53"/>
      <c r="Z477" s="59"/>
    </row>
    <row r="478" spans="1:26" s="6" customFormat="1" x14ac:dyDescent="0.25">
      <c r="D478" s="6" t="s">
        <v>221</v>
      </c>
      <c r="G478" s="59"/>
      <c r="H478" s="59"/>
      <c r="I478" s="32"/>
      <c r="J478" s="28"/>
      <c r="K478" s="28"/>
      <c r="L478" s="28"/>
      <c r="M478" s="28"/>
      <c r="N478" s="53"/>
      <c r="O478" s="59"/>
      <c r="P478" s="53"/>
      <c r="Q478" s="53"/>
      <c r="R478" s="59"/>
      <c r="S478" s="53"/>
      <c r="T478" s="59"/>
      <c r="U478" s="53"/>
      <c r="V478" s="59"/>
      <c r="W478" s="53"/>
      <c r="X478" s="59"/>
      <c r="Y478" s="53"/>
      <c r="Z478" s="59"/>
    </row>
    <row r="479" spans="1:26" s="6" customFormat="1" x14ac:dyDescent="0.25">
      <c r="G479" s="59"/>
      <c r="H479" s="59"/>
      <c r="L479" s="53"/>
      <c r="M479" s="59"/>
      <c r="N479" s="53"/>
      <c r="O479" s="59"/>
      <c r="P479" s="53"/>
      <c r="Q479" s="53"/>
      <c r="R479" s="59"/>
      <c r="S479" s="53"/>
      <c r="T479" s="59"/>
      <c r="U479" s="53"/>
      <c r="V479" s="59"/>
      <c r="W479" s="53"/>
      <c r="X479" s="59"/>
      <c r="Y479" s="53"/>
      <c r="Z479" s="59"/>
    </row>
    <row r="480" spans="1:26" ht="30" x14ac:dyDescent="0.25">
      <c r="A480" s="142" t="s">
        <v>570</v>
      </c>
      <c r="B480" s="142">
        <v>615</v>
      </c>
      <c r="C480" s="143" t="s">
        <v>571</v>
      </c>
      <c r="D480" s="142" t="s">
        <v>572</v>
      </c>
      <c r="E480" s="142">
        <v>1</v>
      </c>
      <c r="F480" s="144">
        <v>384.67</v>
      </c>
      <c r="G480" s="144">
        <v>384.67</v>
      </c>
      <c r="H480" s="142" t="s">
        <v>175</v>
      </c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</row>
    <row r="481" spans="1:26" ht="30" x14ac:dyDescent="0.25">
      <c r="A481" s="142" t="s">
        <v>573</v>
      </c>
      <c r="B481" s="142">
        <v>615</v>
      </c>
      <c r="C481" s="143" t="s">
        <v>571</v>
      </c>
      <c r="D481" s="142" t="s">
        <v>572</v>
      </c>
      <c r="E481" s="142">
        <v>1</v>
      </c>
      <c r="F481" s="144">
        <v>384.67</v>
      </c>
      <c r="G481" s="144">
        <v>384.67</v>
      </c>
      <c r="H481" s="142" t="s">
        <v>175</v>
      </c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</row>
    <row r="482" spans="1:26" ht="60" x14ac:dyDescent="0.25">
      <c r="A482" s="142" t="s">
        <v>574</v>
      </c>
      <c r="B482" s="142">
        <v>606</v>
      </c>
      <c r="C482" s="143" t="s">
        <v>575</v>
      </c>
      <c r="D482" s="142" t="s">
        <v>572</v>
      </c>
      <c r="E482" s="142">
        <v>1</v>
      </c>
      <c r="F482" s="144">
        <v>604.27</v>
      </c>
      <c r="G482" s="144">
        <v>604.27</v>
      </c>
      <c r="H482" s="142" t="s">
        <v>175</v>
      </c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</row>
    <row r="483" spans="1:26" ht="60" x14ac:dyDescent="0.25">
      <c r="A483" s="142" t="s">
        <v>576</v>
      </c>
      <c r="B483" s="142">
        <v>606</v>
      </c>
      <c r="C483" s="143" t="s">
        <v>575</v>
      </c>
      <c r="D483" s="142" t="s">
        <v>572</v>
      </c>
      <c r="E483" s="142">
        <v>1</v>
      </c>
      <c r="F483" s="144">
        <v>604.27</v>
      </c>
      <c r="G483" s="144">
        <v>604.27</v>
      </c>
      <c r="H483" s="142" t="s">
        <v>175</v>
      </c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</row>
    <row r="484" spans="1:26" ht="45" x14ac:dyDescent="0.25">
      <c r="A484" s="142" t="s">
        <v>577</v>
      </c>
      <c r="B484" s="142">
        <v>11193</v>
      </c>
      <c r="C484" s="143" t="s">
        <v>578</v>
      </c>
      <c r="D484" s="142" t="s">
        <v>572</v>
      </c>
      <c r="E484" s="142">
        <v>1</v>
      </c>
      <c r="F484" s="144">
        <v>612.66999999999996</v>
      </c>
      <c r="G484" s="144">
        <v>612.66999999999996</v>
      </c>
      <c r="H484" s="142" t="s">
        <v>175</v>
      </c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</row>
    <row r="485" spans="1:26" ht="30" x14ac:dyDescent="0.25">
      <c r="A485" s="142" t="s">
        <v>579</v>
      </c>
      <c r="B485">
        <v>615</v>
      </c>
      <c r="C485" s="121" t="s">
        <v>571</v>
      </c>
      <c r="D485" s="142" t="s">
        <v>572</v>
      </c>
      <c r="E485" s="142">
        <v>1</v>
      </c>
      <c r="F485" s="144">
        <v>384.67</v>
      </c>
      <c r="G485" s="144">
        <v>384.67</v>
      </c>
      <c r="H485" s="142" t="s">
        <v>175</v>
      </c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</row>
    <row r="486" spans="1:26" ht="30" x14ac:dyDescent="0.25">
      <c r="A486" s="142" t="s">
        <v>580</v>
      </c>
      <c r="B486">
        <v>615</v>
      </c>
      <c r="C486" s="143" t="s">
        <v>571</v>
      </c>
      <c r="D486" s="142" t="s">
        <v>572</v>
      </c>
      <c r="E486" s="142">
        <v>1</v>
      </c>
      <c r="F486" s="144">
        <v>384.67</v>
      </c>
      <c r="G486" s="144">
        <v>384.67</v>
      </c>
      <c r="H486" s="142" t="s">
        <v>175</v>
      </c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</row>
    <row r="487" spans="1:26" ht="60" x14ac:dyDescent="0.25">
      <c r="A487" s="142" t="s">
        <v>581</v>
      </c>
      <c r="B487" s="142">
        <v>606</v>
      </c>
      <c r="C487" s="143" t="s">
        <v>575</v>
      </c>
      <c r="D487" s="142" t="s">
        <v>572</v>
      </c>
      <c r="E487" s="142">
        <v>1</v>
      </c>
      <c r="F487" s="144">
        <v>604.27</v>
      </c>
      <c r="G487" s="144">
        <v>604.27</v>
      </c>
      <c r="H487" s="142" t="s">
        <v>175</v>
      </c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</row>
    <row r="488" spans="1:26" ht="60" x14ac:dyDescent="0.25">
      <c r="A488" s="142" t="s">
        <v>582</v>
      </c>
      <c r="B488" s="142">
        <v>606</v>
      </c>
      <c r="C488" s="143" t="s">
        <v>575</v>
      </c>
      <c r="D488" s="142" t="s">
        <v>572</v>
      </c>
      <c r="E488" s="142">
        <v>1</v>
      </c>
      <c r="F488" s="144">
        <v>604.27</v>
      </c>
      <c r="G488" s="144">
        <v>604.27</v>
      </c>
      <c r="H488" s="142" t="s">
        <v>175</v>
      </c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</row>
    <row r="489" spans="1:26" ht="45" x14ac:dyDescent="0.25">
      <c r="A489" s="142" t="s">
        <v>583</v>
      </c>
      <c r="B489" s="142">
        <v>11193</v>
      </c>
      <c r="C489" s="143" t="s">
        <v>578</v>
      </c>
      <c r="D489" s="142" t="s">
        <v>572</v>
      </c>
      <c r="E489" s="142">
        <v>1</v>
      </c>
      <c r="F489" s="144">
        <v>612.66999999999996</v>
      </c>
      <c r="G489" s="144">
        <v>612.66999999999996</v>
      </c>
      <c r="H489" s="142" t="s">
        <v>175</v>
      </c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</row>
    <row r="490" spans="1:26" ht="45" x14ac:dyDescent="0.25">
      <c r="A490" s="142" t="s">
        <v>584</v>
      </c>
      <c r="B490" s="142">
        <v>11193</v>
      </c>
      <c r="C490" s="143" t="s">
        <v>578</v>
      </c>
      <c r="D490" s="142" t="s">
        <v>572</v>
      </c>
      <c r="E490" s="142">
        <v>1</v>
      </c>
      <c r="F490" s="144">
        <v>612.66999999999996</v>
      </c>
      <c r="G490" s="144">
        <v>612.66999999999996</v>
      </c>
      <c r="H490" s="142" t="s">
        <v>175</v>
      </c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</row>
    <row r="491" spans="1:26" ht="60" x14ac:dyDescent="0.25">
      <c r="A491" s="142" t="s">
        <v>585</v>
      </c>
      <c r="B491" s="142">
        <v>11197</v>
      </c>
      <c r="C491" s="143" t="s">
        <v>586</v>
      </c>
      <c r="D491" s="142" t="s">
        <v>229</v>
      </c>
      <c r="E491" s="142">
        <v>1</v>
      </c>
      <c r="F491" s="144">
        <v>839.06</v>
      </c>
      <c r="G491" s="144">
        <v>839.06</v>
      </c>
      <c r="H491" s="142" t="s">
        <v>175</v>
      </c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</row>
    <row r="492" spans="1:26" ht="60" x14ac:dyDescent="0.25">
      <c r="A492" s="142" t="s">
        <v>587</v>
      </c>
      <c r="B492" s="142">
        <v>11197</v>
      </c>
      <c r="C492" s="143" t="s">
        <v>586</v>
      </c>
      <c r="D492" s="142" t="s">
        <v>229</v>
      </c>
      <c r="E492" s="142">
        <v>1</v>
      </c>
      <c r="F492" s="144">
        <v>839.06</v>
      </c>
      <c r="G492" s="144">
        <v>839.06</v>
      </c>
      <c r="H492" s="142" t="s">
        <v>175</v>
      </c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</row>
    <row r="493" spans="1:26" ht="60" x14ac:dyDescent="0.25">
      <c r="A493" s="142" t="s">
        <v>588</v>
      </c>
      <c r="B493" s="142">
        <v>11523</v>
      </c>
      <c r="C493" s="143" t="s">
        <v>589</v>
      </c>
      <c r="D493" s="142" t="s">
        <v>229</v>
      </c>
      <c r="E493" s="142">
        <v>1</v>
      </c>
      <c r="F493" s="144">
        <v>13.3</v>
      </c>
      <c r="G493" s="144">
        <v>13.3</v>
      </c>
      <c r="H493" s="142" t="s">
        <v>175</v>
      </c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</row>
    <row r="494" spans="1:26" ht="60" x14ac:dyDescent="0.25">
      <c r="A494" s="142" t="s">
        <v>590</v>
      </c>
      <c r="B494" s="142">
        <v>11523</v>
      </c>
      <c r="C494" s="143" t="s">
        <v>589</v>
      </c>
      <c r="D494" s="142" t="s">
        <v>229</v>
      </c>
      <c r="E494" s="142">
        <v>1</v>
      </c>
      <c r="F494" s="144">
        <v>13.3</v>
      </c>
      <c r="G494" s="144">
        <v>13.3</v>
      </c>
      <c r="H494" s="142" t="s">
        <v>175</v>
      </c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</row>
    <row r="495" spans="1:26" ht="60" x14ac:dyDescent="0.25">
      <c r="A495" s="142" t="s">
        <v>591</v>
      </c>
      <c r="B495" s="142">
        <v>11199</v>
      </c>
      <c r="C495" s="143" t="s">
        <v>592</v>
      </c>
      <c r="D495" s="142" t="s">
        <v>229</v>
      </c>
      <c r="E495" s="142">
        <v>1</v>
      </c>
      <c r="F495" s="144">
        <v>867.08</v>
      </c>
      <c r="G495" s="144">
        <v>867.08</v>
      </c>
      <c r="H495" s="142" t="s">
        <v>175</v>
      </c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</row>
    <row r="496" spans="1:26" ht="60" x14ac:dyDescent="0.25">
      <c r="A496" s="142" t="s">
        <v>593</v>
      </c>
      <c r="B496" s="142">
        <v>11199</v>
      </c>
      <c r="C496" s="143" t="s">
        <v>592</v>
      </c>
      <c r="D496" s="142" t="s">
        <v>229</v>
      </c>
      <c r="E496" s="142">
        <v>1</v>
      </c>
      <c r="F496" s="144">
        <v>867.08</v>
      </c>
      <c r="G496" s="144">
        <v>867.08</v>
      </c>
      <c r="H496" s="142" t="s">
        <v>175</v>
      </c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</row>
    <row r="497" spans="1:26" ht="30" x14ac:dyDescent="0.25">
      <c r="A497" s="142" t="s">
        <v>594</v>
      </c>
      <c r="B497" s="142">
        <v>5081</v>
      </c>
      <c r="C497" s="143" t="s">
        <v>595</v>
      </c>
      <c r="D497" s="142" t="s">
        <v>596</v>
      </c>
      <c r="E497" s="142">
        <v>1</v>
      </c>
      <c r="F497" s="144">
        <v>20.309999999999999</v>
      </c>
      <c r="G497" s="144">
        <v>20.309999999999999</v>
      </c>
      <c r="H497" s="142" t="s">
        <v>175</v>
      </c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</row>
    <row r="498" spans="1:26" ht="30" x14ac:dyDescent="0.25">
      <c r="A498" s="142" t="s">
        <v>597</v>
      </c>
      <c r="B498">
        <v>5081</v>
      </c>
      <c r="C498" s="121" t="s">
        <v>595</v>
      </c>
      <c r="D498" s="142" t="s">
        <v>596</v>
      </c>
      <c r="E498" s="142">
        <v>1</v>
      </c>
      <c r="F498" s="144">
        <v>20.309999999999999</v>
      </c>
      <c r="G498" s="144">
        <v>20.309999999999999</v>
      </c>
      <c r="H498" s="142" t="s">
        <v>175</v>
      </c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</row>
    <row r="499" spans="1:26" ht="30" customHeight="1" x14ac:dyDescent="0.25">
      <c r="A499" t="s">
        <v>598</v>
      </c>
      <c r="B499">
        <v>38167</v>
      </c>
      <c r="C499" s="121" t="s">
        <v>599</v>
      </c>
      <c r="D499" t="s">
        <v>596</v>
      </c>
      <c r="E499">
        <v>1</v>
      </c>
      <c r="F499" s="122">
        <v>17.510000000000002</v>
      </c>
      <c r="G499" s="122">
        <v>17.510000000000002</v>
      </c>
      <c r="H499" t="s">
        <v>175</v>
      </c>
      <c r="I499"/>
      <c r="J499"/>
      <c r="K499"/>
      <c r="L499"/>
      <c r="M499"/>
      <c r="N499"/>
      <c r="O499"/>
      <c r="P499"/>
      <c r="R499"/>
      <c r="T499"/>
      <c r="V499"/>
      <c r="X499"/>
      <c r="Z499"/>
    </row>
    <row r="500" spans="1:26" ht="30" x14ac:dyDescent="0.25">
      <c r="A500" t="s">
        <v>600</v>
      </c>
      <c r="B500">
        <v>38167</v>
      </c>
      <c r="C500" s="121" t="s">
        <v>599</v>
      </c>
      <c r="D500" t="s">
        <v>596</v>
      </c>
      <c r="E500">
        <v>1</v>
      </c>
      <c r="F500" s="122">
        <v>17.510000000000002</v>
      </c>
      <c r="G500" s="122">
        <v>17.510000000000002</v>
      </c>
      <c r="H500" t="s">
        <v>175</v>
      </c>
      <c r="I500"/>
      <c r="J500"/>
      <c r="K500"/>
      <c r="L500"/>
      <c r="M500"/>
      <c r="N500"/>
      <c r="O500"/>
      <c r="P500"/>
      <c r="R500"/>
      <c r="T500"/>
      <c r="V500"/>
      <c r="X500"/>
      <c r="Z500"/>
    </row>
    <row r="501" spans="1:26" ht="30" x14ac:dyDescent="0.25">
      <c r="A501" s="142" t="s">
        <v>601</v>
      </c>
      <c r="B501" s="142">
        <v>5091</v>
      </c>
      <c r="C501" s="143" t="s">
        <v>602</v>
      </c>
      <c r="D501" s="142" t="s">
        <v>229</v>
      </c>
      <c r="E501" s="142">
        <v>1</v>
      </c>
      <c r="F501" s="144">
        <v>15.78</v>
      </c>
      <c r="G501" s="144">
        <v>15.78</v>
      </c>
      <c r="H501" s="142" t="s">
        <v>175</v>
      </c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</row>
    <row r="502" spans="1:26" ht="30" x14ac:dyDescent="0.25">
      <c r="A502" s="142" t="s">
        <v>603</v>
      </c>
      <c r="B502" s="142">
        <v>5091</v>
      </c>
      <c r="C502" s="143" t="s">
        <v>602</v>
      </c>
      <c r="D502" s="142" t="s">
        <v>229</v>
      </c>
      <c r="E502" s="142">
        <v>1</v>
      </c>
      <c r="F502" s="144">
        <v>15.78</v>
      </c>
      <c r="G502" s="144">
        <v>15.78</v>
      </c>
      <c r="H502" s="142" t="s">
        <v>175</v>
      </c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</row>
    <row r="503" spans="1:26" ht="45" x14ac:dyDescent="0.25">
      <c r="A503" t="s">
        <v>604</v>
      </c>
      <c r="B503">
        <v>38165</v>
      </c>
      <c r="C503" s="121" t="s">
        <v>605</v>
      </c>
      <c r="D503" t="s">
        <v>606</v>
      </c>
      <c r="E503">
        <v>1</v>
      </c>
      <c r="F503" s="122">
        <v>55.73</v>
      </c>
      <c r="G503" s="122">
        <v>55.73</v>
      </c>
      <c r="H503" t="s">
        <v>175</v>
      </c>
      <c r="I503"/>
      <c r="J503"/>
      <c r="K503"/>
      <c r="L503"/>
      <c r="M503"/>
      <c r="N503"/>
      <c r="O503"/>
      <c r="P503"/>
      <c r="R503"/>
      <c r="T503"/>
      <c r="V503"/>
      <c r="X503"/>
      <c r="Z503"/>
    </row>
    <row r="504" spans="1:26" ht="45" x14ac:dyDescent="0.25">
      <c r="A504" t="s">
        <v>607</v>
      </c>
      <c r="B504">
        <v>3108</v>
      </c>
      <c r="C504" s="121" t="s">
        <v>608</v>
      </c>
      <c r="D504" t="s">
        <v>229</v>
      </c>
      <c r="E504">
        <v>1</v>
      </c>
      <c r="F504" s="122">
        <v>22.22</v>
      </c>
      <c r="G504" s="122">
        <v>22.22</v>
      </c>
      <c r="H504" t="s">
        <v>175</v>
      </c>
      <c r="I504"/>
      <c r="J504"/>
      <c r="K504"/>
      <c r="L504"/>
      <c r="M504"/>
      <c r="N504"/>
      <c r="O504"/>
      <c r="P504"/>
      <c r="R504"/>
      <c r="T504"/>
      <c r="V504"/>
      <c r="X504"/>
      <c r="Z504"/>
    </row>
    <row r="505" spans="1:26" ht="45" x14ac:dyDescent="0.25">
      <c r="A505" t="s">
        <v>609</v>
      </c>
      <c r="B505">
        <v>3105</v>
      </c>
      <c r="C505" s="121" t="s">
        <v>610</v>
      </c>
      <c r="D505" t="s">
        <v>229</v>
      </c>
      <c r="E505">
        <v>1</v>
      </c>
      <c r="F505" s="122">
        <v>34.520000000000003</v>
      </c>
      <c r="G505" s="122">
        <v>34.520000000000003</v>
      </c>
      <c r="H505" t="s">
        <v>175</v>
      </c>
      <c r="I505"/>
      <c r="J505"/>
      <c r="K505"/>
      <c r="L505"/>
      <c r="M505"/>
      <c r="N505"/>
      <c r="O505"/>
      <c r="P505"/>
      <c r="R505"/>
      <c r="T505"/>
      <c r="V505"/>
      <c r="X505"/>
      <c r="Z505"/>
    </row>
    <row r="506" spans="1:26" ht="30" x14ac:dyDescent="0.25">
      <c r="A506" t="s">
        <v>611</v>
      </c>
      <c r="B506">
        <v>11458</v>
      </c>
      <c r="C506" s="121" t="s">
        <v>612</v>
      </c>
      <c r="D506" t="s">
        <v>229</v>
      </c>
      <c r="E506">
        <v>1</v>
      </c>
      <c r="F506" s="122">
        <v>19.77</v>
      </c>
      <c r="G506" s="122">
        <v>19.77</v>
      </c>
      <c r="H506" t="s">
        <v>175</v>
      </c>
      <c r="I506"/>
      <c r="J506"/>
      <c r="K506"/>
      <c r="L506"/>
      <c r="M506"/>
      <c r="N506"/>
      <c r="O506"/>
      <c r="P506"/>
      <c r="R506"/>
      <c r="T506"/>
      <c r="V506"/>
      <c r="X506"/>
      <c r="Z506"/>
    </row>
    <row r="507" spans="1:26" ht="45" x14ac:dyDescent="0.25">
      <c r="A507" t="s">
        <v>613</v>
      </c>
      <c r="B507">
        <v>11461</v>
      </c>
      <c r="C507" s="121" t="s">
        <v>614</v>
      </c>
      <c r="D507" t="s">
        <v>229</v>
      </c>
      <c r="E507">
        <v>1</v>
      </c>
      <c r="F507" s="122">
        <v>5.01</v>
      </c>
      <c r="G507" s="122">
        <v>5.01</v>
      </c>
      <c r="H507" t="s">
        <v>175</v>
      </c>
      <c r="I507"/>
      <c r="J507"/>
      <c r="K507"/>
      <c r="L507"/>
      <c r="M507"/>
      <c r="N507"/>
      <c r="O507"/>
      <c r="P507"/>
      <c r="R507"/>
      <c r="T507"/>
      <c r="V507"/>
      <c r="X507"/>
      <c r="Z507"/>
    </row>
    <row r="508" spans="1:26" ht="45" x14ac:dyDescent="0.25">
      <c r="A508" t="s">
        <v>615</v>
      </c>
      <c r="B508">
        <v>11461</v>
      </c>
      <c r="C508" s="121" t="s">
        <v>614</v>
      </c>
      <c r="D508" t="s">
        <v>229</v>
      </c>
      <c r="E508">
        <v>1</v>
      </c>
      <c r="F508" s="122">
        <v>5.01</v>
      </c>
      <c r="G508" s="122">
        <v>5.01</v>
      </c>
      <c r="H508" t="s">
        <v>175</v>
      </c>
      <c r="I508"/>
      <c r="J508"/>
      <c r="K508"/>
      <c r="L508"/>
      <c r="M508"/>
      <c r="N508"/>
      <c r="O508"/>
      <c r="P508"/>
      <c r="R508"/>
      <c r="T508"/>
      <c r="V508"/>
      <c r="X508"/>
      <c r="Z508"/>
    </row>
    <row r="509" spans="1:26" ht="45" x14ac:dyDescent="0.25">
      <c r="A509" t="s">
        <v>616</v>
      </c>
      <c r="B509">
        <v>34379</v>
      </c>
      <c r="C509" s="121" t="s">
        <v>617</v>
      </c>
      <c r="D509" t="s">
        <v>229</v>
      </c>
      <c r="E509">
        <v>1</v>
      </c>
      <c r="F509" s="122">
        <v>255.77</v>
      </c>
      <c r="G509" s="122">
        <v>255.77</v>
      </c>
      <c r="H509" t="s">
        <v>175</v>
      </c>
      <c r="I509"/>
      <c r="J509"/>
      <c r="K509"/>
      <c r="L509"/>
      <c r="M509"/>
      <c r="N509"/>
      <c r="O509"/>
      <c r="P509"/>
      <c r="R509"/>
      <c r="T509"/>
      <c r="V509"/>
      <c r="X509"/>
      <c r="Z509"/>
    </row>
    <row r="510" spans="1:26" ht="45" x14ac:dyDescent="0.25">
      <c r="A510" t="s">
        <v>618</v>
      </c>
      <c r="B510">
        <v>34378</v>
      </c>
      <c r="C510" s="121" t="s">
        <v>619</v>
      </c>
      <c r="D510" t="s">
        <v>229</v>
      </c>
      <c r="E510">
        <v>1</v>
      </c>
      <c r="F510" s="122">
        <v>206.01</v>
      </c>
      <c r="G510" s="122">
        <v>206.01</v>
      </c>
      <c r="H510" t="s">
        <v>175</v>
      </c>
      <c r="I510"/>
      <c r="J510"/>
      <c r="K510"/>
      <c r="L510"/>
      <c r="M510"/>
      <c r="N510"/>
      <c r="O510"/>
      <c r="P510"/>
      <c r="R510"/>
      <c r="T510"/>
      <c r="V510"/>
      <c r="X510"/>
      <c r="Z510"/>
    </row>
    <row r="511" spans="1:26" ht="45" x14ac:dyDescent="0.25">
      <c r="A511" t="s">
        <v>620</v>
      </c>
      <c r="B511">
        <v>34378</v>
      </c>
      <c r="C511" s="121" t="s">
        <v>619</v>
      </c>
      <c r="D511" t="s">
        <v>229</v>
      </c>
      <c r="E511">
        <v>1</v>
      </c>
      <c r="F511" s="122">
        <v>206.01</v>
      </c>
      <c r="G511" s="122">
        <v>206.01</v>
      </c>
      <c r="H511" t="s">
        <v>175</v>
      </c>
      <c r="I511"/>
      <c r="J511"/>
      <c r="K511"/>
      <c r="L511"/>
      <c r="M511"/>
      <c r="N511"/>
      <c r="O511"/>
      <c r="P511"/>
      <c r="R511"/>
      <c r="T511"/>
      <c r="V511"/>
      <c r="X511"/>
      <c r="Z511"/>
    </row>
    <row r="512" spans="1:26" ht="45" x14ac:dyDescent="0.25">
      <c r="A512" t="s">
        <v>621</v>
      </c>
      <c r="B512">
        <v>34377</v>
      </c>
      <c r="C512" s="121" t="s">
        <v>622</v>
      </c>
      <c r="D512" t="s">
        <v>229</v>
      </c>
      <c r="E512">
        <v>1</v>
      </c>
      <c r="F512" s="122">
        <v>189.99</v>
      </c>
      <c r="G512" s="122">
        <v>189.99</v>
      </c>
      <c r="H512" t="s">
        <v>175</v>
      </c>
      <c r="I512"/>
      <c r="J512"/>
      <c r="K512"/>
      <c r="L512"/>
      <c r="M512"/>
      <c r="N512"/>
      <c r="O512"/>
      <c r="P512"/>
      <c r="R512"/>
      <c r="T512"/>
      <c r="V512"/>
      <c r="X512"/>
      <c r="Z512"/>
    </row>
    <row r="513" spans="1:26" ht="45" x14ac:dyDescent="0.25">
      <c r="A513" t="s">
        <v>623</v>
      </c>
      <c r="B513">
        <v>34377</v>
      </c>
      <c r="C513" s="121" t="s">
        <v>622</v>
      </c>
      <c r="D513" t="s">
        <v>229</v>
      </c>
      <c r="E513">
        <v>1</v>
      </c>
      <c r="F513" s="122">
        <v>189.99</v>
      </c>
      <c r="G513" s="122">
        <v>189.99</v>
      </c>
      <c r="H513" t="s">
        <v>175</v>
      </c>
      <c r="I513"/>
      <c r="J513"/>
      <c r="K513"/>
      <c r="L513"/>
      <c r="M513"/>
      <c r="N513"/>
      <c r="O513"/>
      <c r="P513"/>
      <c r="R513"/>
      <c r="T513"/>
      <c r="V513"/>
      <c r="X513"/>
      <c r="Z513"/>
    </row>
    <row r="514" spans="1:26" ht="45" x14ac:dyDescent="0.25">
      <c r="A514" t="s">
        <v>624</v>
      </c>
      <c r="B514">
        <v>581</v>
      </c>
      <c r="C514" s="121" t="s">
        <v>625</v>
      </c>
      <c r="D514" t="s">
        <v>572</v>
      </c>
      <c r="E514">
        <v>1</v>
      </c>
      <c r="F514" s="122">
        <v>360.84</v>
      </c>
      <c r="G514" s="122">
        <v>360.84</v>
      </c>
      <c r="H514" t="s">
        <v>175</v>
      </c>
      <c r="I514"/>
      <c r="J514"/>
      <c r="K514"/>
      <c r="L514"/>
      <c r="M514"/>
      <c r="N514"/>
      <c r="O514"/>
      <c r="P514"/>
      <c r="R514"/>
      <c r="T514"/>
      <c r="V514"/>
      <c r="X514"/>
      <c r="Z514"/>
    </row>
    <row r="515" spans="1:26" ht="45" x14ac:dyDescent="0.25">
      <c r="A515" t="s">
        <v>626</v>
      </c>
      <c r="B515">
        <v>581</v>
      </c>
      <c r="C515" s="121" t="s">
        <v>625</v>
      </c>
      <c r="D515" t="s">
        <v>572</v>
      </c>
      <c r="E515">
        <v>1</v>
      </c>
      <c r="F515" s="122">
        <v>360.84</v>
      </c>
      <c r="G515" s="122">
        <v>360.84</v>
      </c>
      <c r="H515" t="s">
        <v>175</v>
      </c>
      <c r="I515"/>
      <c r="J515"/>
      <c r="K515"/>
      <c r="L515"/>
      <c r="M515"/>
      <c r="N515"/>
      <c r="O515"/>
      <c r="P515"/>
      <c r="R515"/>
      <c r="T515"/>
      <c r="V515"/>
      <c r="X515"/>
      <c r="Z515"/>
    </row>
    <row r="516" spans="1:26" ht="75" x14ac:dyDescent="0.25">
      <c r="A516" t="s">
        <v>627</v>
      </c>
      <c r="B516">
        <v>40662</v>
      </c>
      <c r="C516" s="121" t="s">
        <v>628</v>
      </c>
      <c r="D516" t="s">
        <v>229</v>
      </c>
      <c r="E516">
        <v>1</v>
      </c>
      <c r="F516" s="122">
        <v>95.86</v>
      </c>
      <c r="G516" s="122">
        <v>95.86</v>
      </c>
      <c r="H516" t="s">
        <v>175</v>
      </c>
      <c r="I516"/>
      <c r="J516"/>
      <c r="K516"/>
      <c r="L516"/>
      <c r="M516"/>
      <c r="N516"/>
      <c r="O516"/>
      <c r="P516"/>
      <c r="R516"/>
      <c r="T516"/>
      <c r="V516"/>
      <c r="X516"/>
      <c r="Z516"/>
    </row>
    <row r="517" spans="1:26" ht="75" x14ac:dyDescent="0.25">
      <c r="A517" t="s">
        <v>629</v>
      </c>
      <c r="B517">
        <v>40662</v>
      </c>
      <c r="C517" s="121" t="s">
        <v>628</v>
      </c>
      <c r="D517" t="s">
        <v>229</v>
      </c>
      <c r="E517">
        <v>1</v>
      </c>
      <c r="F517" s="122">
        <v>95.86</v>
      </c>
      <c r="G517" s="122">
        <v>95.86</v>
      </c>
      <c r="H517" t="s">
        <v>175</v>
      </c>
      <c r="I517"/>
      <c r="J517"/>
      <c r="K517"/>
      <c r="L517"/>
      <c r="M517"/>
      <c r="N517"/>
      <c r="O517"/>
      <c r="P517"/>
      <c r="R517"/>
      <c r="T517"/>
      <c r="V517"/>
      <c r="X517"/>
      <c r="Z517"/>
    </row>
    <row r="518" spans="1:26" ht="75" x14ac:dyDescent="0.25">
      <c r="A518" t="s">
        <v>630</v>
      </c>
      <c r="B518">
        <v>3437</v>
      </c>
      <c r="C518" s="121" t="s">
        <v>631</v>
      </c>
      <c r="D518" t="s">
        <v>572</v>
      </c>
      <c r="E518">
        <v>1</v>
      </c>
      <c r="F518" s="122">
        <v>266.29000000000002</v>
      </c>
      <c r="G518" s="122">
        <v>266.29000000000002</v>
      </c>
      <c r="H518" t="s">
        <v>175</v>
      </c>
      <c r="I518"/>
      <c r="J518"/>
      <c r="K518"/>
      <c r="L518"/>
      <c r="M518"/>
      <c r="N518"/>
      <c r="O518"/>
      <c r="P518"/>
      <c r="R518"/>
      <c r="T518"/>
      <c r="V518"/>
      <c r="X518"/>
      <c r="Z518"/>
    </row>
    <row r="519" spans="1:26" ht="75" x14ac:dyDescent="0.25">
      <c r="A519" t="s">
        <v>632</v>
      </c>
      <c r="B519">
        <v>3437</v>
      </c>
      <c r="C519" s="121" t="s">
        <v>631</v>
      </c>
      <c r="D519" t="s">
        <v>572</v>
      </c>
      <c r="E519">
        <v>1</v>
      </c>
      <c r="F519" s="122">
        <v>266.29000000000002</v>
      </c>
      <c r="G519" s="122">
        <v>266.29000000000002</v>
      </c>
      <c r="H519" t="s">
        <v>175</v>
      </c>
      <c r="I519"/>
      <c r="J519"/>
      <c r="K519"/>
      <c r="L519"/>
      <c r="M519"/>
      <c r="N519"/>
      <c r="O519"/>
      <c r="P519"/>
      <c r="R519"/>
      <c r="T519"/>
      <c r="V519"/>
      <c r="X519"/>
      <c r="Z519"/>
    </row>
    <row r="520" spans="1:26" ht="30" x14ac:dyDescent="0.25">
      <c r="A520" t="s">
        <v>633</v>
      </c>
      <c r="B520">
        <v>11190</v>
      </c>
      <c r="C520" s="121" t="s">
        <v>634</v>
      </c>
      <c r="D520" t="s">
        <v>229</v>
      </c>
      <c r="E520">
        <v>1</v>
      </c>
      <c r="F520" s="122">
        <v>157</v>
      </c>
      <c r="G520" s="122">
        <v>157</v>
      </c>
      <c r="H520" t="s">
        <v>175</v>
      </c>
      <c r="I520"/>
      <c r="J520"/>
      <c r="K520"/>
      <c r="L520"/>
      <c r="M520"/>
      <c r="N520"/>
      <c r="O520"/>
      <c r="P520"/>
      <c r="R520"/>
      <c r="T520"/>
      <c r="V520"/>
      <c r="X520"/>
      <c r="Z520"/>
    </row>
    <row r="521" spans="1:26" ht="30" x14ac:dyDescent="0.25">
      <c r="A521" t="s">
        <v>635</v>
      </c>
      <c r="B521">
        <v>11190</v>
      </c>
      <c r="C521" s="121" t="s">
        <v>634</v>
      </c>
      <c r="D521" t="s">
        <v>229</v>
      </c>
      <c r="E521">
        <v>1</v>
      </c>
      <c r="F521" s="122">
        <v>157</v>
      </c>
      <c r="G521" s="122">
        <v>157</v>
      </c>
      <c r="H521" t="s">
        <v>175</v>
      </c>
      <c r="I521"/>
      <c r="J521"/>
      <c r="K521"/>
      <c r="L521"/>
      <c r="M521"/>
      <c r="N521"/>
      <c r="O521"/>
      <c r="P521"/>
      <c r="R521"/>
      <c r="T521"/>
      <c r="V521"/>
      <c r="X521"/>
      <c r="Z521"/>
    </row>
    <row r="522" spans="1:26" ht="90" x14ac:dyDescent="0.25">
      <c r="A522" s="142" t="s">
        <v>636</v>
      </c>
      <c r="B522" s="142">
        <v>3428</v>
      </c>
      <c r="C522" s="143" t="s">
        <v>637</v>
      </c>
      <c r="D522" s="142" t="s">
        <v>572</v>
      </c>
      <c r="E522" s="142">
        <v>1</v>
      </c>
      <c r="F522" s="144">
        <v>395</v>
      </c>
      <c r="G522" s="144">
        <v>395</v>
      </c>
      <c r="H522" s="142" t="s">
        <v>175</v>
      </c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</row>
    <row r="523" spans="1:26" ht="90" x14ac:dyDescent="0.25">
      <c r="A523" s="142" t="s">
        <v>638</v>
      </c>
      <c r="B523" s="142">
        <v>3428</v>
      </c>
      <c r="C523" s="143" t="s">
        <v>637</v>
      </c>
      <c r="D523" s="142" t="s">
        <v>572</v>
      </c>
      <c r="E523" s="142">
        <v>1</v>
      </c>
      <c r="F523" s="144">
        <v>395</v>
      </c>
      <c r="G523" s="144">
        <v>395</v>
      </c>
      <c r="H523" s="142" t="s">
        <v>175</v>
      </c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</row>
    <row r="524" spans="1:26" ht="90" x14ac:dyDescent="0.25">
      <c r="A524" s="142" t="s">
        <v>639</v>
      </c>
      <c r="B524" s="142">
        <v>3429</v>
      </c>
      <c r="C524" s="143" t="s">
        <v>640</v>
      </c>
      <c r="D524" s="142" t="s">
        <v>572</v>
      </c>
      <c r="E524" s="142">
        <v>1</v>
      </c>
      <c r="F524" s="144">
        <v>225.68</v>
      </c>
      <c r="G524" s="144">
        <v>225.68</v>
      </c>
      <c r="H524" s="142" t="s">
        <v>175</v>
      </c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</row>
    <row r="525" spans="1:26" ht="90" x14ac:dyDescent="0.25">
      <c r="A525" s="142" t="s">
        <v>641</v>
      </c>
      <c r="B525" s="142">
        <v>3429</v>
      </c>
      <c r="C525" s="143" t="s">
        <v>640</v>
      </c>
      <c r="D525" s="142" t="s">
        <v>572</v>
      </c>
      <c r="E525" s="142">
        <v>1</v>
      </c>
      <c r="F525" s="144">
        <v>225.68</v>
      </c>
      <c r="G525" s="144">
        <v>225.68</v>
      </c>
      <c r="H525" s="142" t="s">
        <v>175</v>
      </c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</row>
    <row r="526" spans="1:26" ht="60" x14ac:dyDescent="0.25">
      <c r="A526" s="142" t="s">
        <v>642</v>
      </c>
      <c r="B526" s="142">
        <v>34371</v>
      </c>
      <c r="C526" s="143" t="s">
        <v>643</v>
      </c>
      <c r="D526" s="142" t="s">
        <v>229</v>
      </c>
      <c r="E526" s="142">
        <v>1</v>
      </c>
      <c r="F526" s="144">
        <v>695.4</v>
      </c>
      <c r="G526" s="144">
        <v>695.4</v>
      </c>
      <c r="H526" s="142" t="s">
        <v>175</v>
      </c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</row>
    <row r="527" spans="1:26" ht="60" x14ac:dyDescent="0.25">
      <c r="A527" s="142" t="s">
        <v>644</v>
      </c>
      <c r="B527" s="142">
        <v>34371</v>
      </c>
      <c r="C527" s="143" t="s">
        <v>643</v>
      </c>
      <c r="D527" s="142" t="s">
        <v>229</v>
      </c>
      <c r="E527" s="142">
        <v>1</v>
      </c>
      <c r="F527" s="144">
        <v>695.4</v>
      </c>
      <c r="G527" s="144">
        <v>695.4</v>
      </c>
      <c r="H527" s="142" t="s">
        <v>175</v>
      </c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</row>
    <row r="528" spans="1:26" ht="60" x14ac:dyDescent="0.25">
      <c r="A528" s="142" t="s">
        <v>645</v>
      </c>
      <c r="B528" s="142">
        <v>34370</v>
      </c>
      <c r="C528" s="143" t="s">
        <v>646</v>
      </c>
      <c r="D528" s="142" t="s">
        <v>229</v>
      </c>
      <c r="E528" s="142">
        <v>1</v>
      </c>
      <c r="F528" s="144">
        <v>576.70000000000005</v>
      </c>
      <c r="G528" s="144">
        <v>576.70000000000005</v>
      </c>
      <c r="H528" s="142" t="s">
        <v>175</v>
      </c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</row>
    <row r="529" spans="1:26" ht="60" customHeight="1" x14ac:dyDescent="0.25">
      <c r="A529" s="142" t="s">
        <v>647</v>
      </c>
      <c r="B529" s="142">
        <v>34370</v>
      </c>
      <c r="C529" s="143" t="s">
        <v>646</v>
      </c>
      <c r="D529" s="142" t="s">
        <v>229</v>
      </c>
      <c r="E529" s="142">
        <v>1</v>
      </c>
      <c r="F529" s="144">
        <v>576.70000000000005</v>
      </c>
      <c r="G529" s="144">
        <v>576.70000000000005</v>
      </c>
      <c r="H529" s="142" t="s">
        <v>175</v>
      </c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</row>
    <row r="530" spans="1:26" ht="60" customHeight="1" x14ac:dyDescent="0.25">
      <c r="A530" s="142" t="s">
        <v>648</v>
      </c>
      <c r="B530" s="142">
        <v>34370</v>
      </c>
      <c r="C530" s="143" t="s">
        <v>646</v>
      </c>
      <c r="D530" s="142" t="s">
        <v>229</v>
      </c>
      <c r="E530" s="142">
        <v>1</v>
      </c>
      <c r="F530" s="144">
        <v>576.70000000000005</v>
      </c>
      <c r="G530" s="144">
        <v>576.70000000000005</v>
      </c>
      <c r="H530" s="142" t="s">
        <v>175</v>
      </c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</row>
    <row r="531" spans="1:26" ht="60" x14ac:dyDescent="0.25">
      <c r="A531" s="142" t="s">
        <v>649</v>
      </c>
      <c r="B531" s="142">
        <v>34370</v>
      </c>
      <c r="C531" s="143" t="s">
        <v>646</v>
      </c>
      <c r="D531" s="142" t="s">
        <v>229</v>
      </c>
      <c r="E531" s="142">
        <v>1</v>
      </c>
      <c r="F531" s="144">
        <v>576.70000000000005</v>
      </c>
      <c r="G531" s="144">
        <v>576.70000000000005</v>
      </c>
      <c r="H531" s="142" t="s">
        <v>175</v>
      </c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</row>
    <row r="532" spans="1:26" ht="75" x14ac:dyDescent="0.25">
      <c r="A532" s="142" t="s">
        <v>650</v>
      </c>
      <c r="B532" s="142">
        <v>34372</v>
      </c>
      <c r="C532" s="143" t="s">
        <v>651</v>
      </c>
      <c r="D532" s="142" t="s">
        <v>229</v>
      </c>
      <c r="E532" s="142">
        <v>1</v>
      </c>
      <c r="F532" s="144">
        <v>802.27</v>
      </c>
      <c r="G532" s="144">
        <v>802.27</v>
      </c>
      <c r="H532" s="142" t="s">
        <v>175</v>
      </c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</row>
    <row r="533" spans="1:26" ht="60" customHeight="1" x14ac:dyDescent="0.25">
      <c r="A533" s="142" t="s">
        <v>652</v>
      </c>
      <c r="B533" s="142">
        <v>34372</v>
      </c>
      <c r="C533" s="143" t="s">
        <v>651</v>
      </c>
      <c r="D533" s="142" t="s">
        <v>229</v>
      </c>
      <c r="E533" s="142">
        <v>1</v>
      </c>
      <c r="F533" s="144">
        <v>802.27</v>
      </c>
      <c r="G533" s="144">
        <v>802.27</v>
      </c>
      <c r="H533" s="142" t="s">
        <v>175</v>
      </c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</row>
    <row r="534" spans="1:26" ht="75" x14ac:dyDescent="0.25">
      <c r="A534" s="142" t="s">
        <v>653</v>
      </c>
      <c r="B534" s="142">
        <v>34373</v>
      </c>
      <c r="C534" s="143" t="s">
        <v>654</v>
      </c>
      <c r="D534" s="142" t="s">
        <v>229</v>
      </c>
      <c r="E534" s="142">
        <v>1</v>
      </c>
      <c r="F534" s="144">
        <v>993.09</v>
      </c>
      <c r="G534" s="144">
        <v>993.09</v>
      </c>
      <c r="H534" s="142" t="s">
        <v>175</v>
      </c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</row>
    <row r="535" spans="1:26" ht="75" x14ac:dyDescent="0.25">
      <c r="A535" s="142" t="s">
        <v>655</v>
      </c>
      <c r="B535" s="142">
        <v>34373</v>
      </c>
      <c r="C535" s="143" t="s">
        <v>654</v>
      </c>
      <c r="D535" s="142" t="s">
        <v>229</v>
      </c>
      <c r="E535" s="142">
        <v>1</v>
      </c>
      <c r="F535" s="144">
        <v>993.09</v>
      </c>
      <c r="G535" s="144">
        <v>993.09</v>
      </c>
      <c r="H535" s="142" t="s">
        <v>175</v>
      </c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</row>
    <row r="536" spans="1:26" ht="60" x14ac:dyDescent="0.25">
      <c r="A536" s="142" t="s">
        <v>656</v>
      </c>
      <c r="B536" s="142">
        <v>36896</v>
      </c>
      <c r="C536" s="143" t="s">
        <v>657</v>
      </c>
      <c r="D536" s="142" t="s">
        <v>229</v>
      </c>
      <c r="E536" s="142">
        <v>1</v>
      </c>
      <c r="F536" s="144">
        <v>330.9</v>
      </c>
      <c r="G536" s="144">
        <v>330.9</v>
      </c>
      <c r="H536" s="142" t="s">
        <v>175</v>
      </c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</row>
    <row r="537" spans="1:26" ht="60" x14ac:dyDescent="0.25">
      <c r="A537" s="142" t="s">
        <v>658</v>
      </c>
      <c r="B537" s="142">
        <v>36896</v>
      </c>
      <c r="C537" s="143" t="s">
        <v>657</v>
      </c>
      <c r="D537" s="142" t="s">
        <v>229</v>
      </c>
      <c r="E537" s="142">
        <v>1</v>
      </c>
      <c r="F537" s="144">
        <v>330.9</v>
      </c>
      <c r="G537" s="144">
        <v>330.9</v>
      </c>
      <c r="H537" s="142" t="s">
        <v>175</v>
      </c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</row>
    <row r="538" spans="1:26" ht="60" x14ac:dyDescent="0.25">
      <c r="A538" s="142" t="s">
        <v>659</v>
      </c>
      <c r="B538" s="142">
        <v>34367</v>
      </c>
      <c r="C538" s="143" t="s">
        <v>660</v>
      </c>
      <c r="D538" s="142" t="s">
        <v>229</v>
      </c>
      <c r="E538" s="142">
        <v>1</v>
      </c>
      <c r="F538" s="144">
        <v>388.68</v>
      </c>
      <c r="G538" s="144">
        <v>388.68</v>
      </c>
      <c r="H538" s="142" t="s">
        <v>175</v>
      </c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</row>
    <row r="539" spans="1:26" ht="60" x14ac:dyDescent="0.25">
      <c r="A539" s="142" t="s">
        <v>661</v>
      </c>
      <c r="B539" s="142">
        <v>34367</v>
      </c>
      <c r="C539" s="143" t="s">
        <v>660</v>
      </c>
      <c r="D539" s="142" t="s">
        <v>229</v>
      </c>
      <c r="E539" s="142">
        <v>1</v>
      </c>
      <c r="F539" s="144">
        <v>388.68</v>
      </c>
      <c r="G539" s="144">
        <v>388.68</v>
      </c>
      <c r="H539" s="142" t="s">
        <v>175</v>
      </c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</row>
    <row r="540" spans="1:26" ht="60" x14ac:dyDescent="0.25">
      <c r="A540" s="142" t="s">
        <v>662</v>
      </c>
      <c r="B540" s="142">
        <v>36897</v>
      </c>
      <c r="C540" s="143" t="s">
        <v>663</v>
      </c>
      <c r="D540" s="142" t="s">
        <v>229</v>
      </c>
      <c r="E540" s="142">
        <v>1</v>
      </c>
      <c r="F540" s="144">
        <v>458.35</v>
      </c>
      <c r="G540" s="144">
        <v>458.35</v>
      </c>
      <c r="H540" s="142" t="s">
        <v>175</v>
      </c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</row>
    <row r="541" spans="1:26" ht="60" x14ac:dyDescent="0.25">
      <c r="A541" s="142" t="s">
        <v>664</v>
      </c>
      <c r="B541" s="142">
        <v>36897</v>
      </c>
      <c r="C541" s="143" t="s">
        <v>663</v>
      </c>
      <c r="D541" s="142" t="s">
        <v>229</v>
      </c>
      <c r="E541" s="142">
        <v>1</v>
      </c>
      <c r="F541" s="144">
        <v>458.35</v>
      </c>
      <c r="G541" s="144">
        <v>458.35</v>
      </c>
      <c r="H541" s="142" t="s">
        <v>175</v>
      </c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</row>
    <row r="542" spans="1:26" ht="60" x14ac:dyDescent="0.25">
      <c r="A542" s="142" t="s">
        <v>665</v>
      </c>
      <c r="B542" s="142">
        <v>36897</v>
      </c>
      <c r="C542" s="143" t="s">
        <v>663</v>
      </c>
      <c r="D542" s="142" t="s">
        <v>229</v>
      </c>
      <c r="E542" s="142">
        <v>1</v>
      </c>
      <c r="F542" s="144">
        <v>458.35</v>
      </c>
      <c r="G542" s="144">
        <v>458.35</v>
      </c>
      <c r="H542" s="142" t="s">
        <v>175</v>
      </c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</row>
    <row r="543" spans="1:26" ht="45" x14ac:dyDescent="0.25">
      <c r="A543" s="142" t="s">
        <v>666</v>
      </c>
      <c r="B543" s="142">
        <v>597</v>
      </c>
      <c r="C543" s="143" t="s">
        <v>667</v>
      </c>
      <c r="D543" s="142" t="s">
        <v>572</v>
      </c>
      <c r="E543" s="142">
        <v>1</v>
      </c>
      <c r="F543" s="144">
        <v>338.55</v>
      </c>
      <c r="G543" s="144">
        <v>338.55</v>
      </c>
      <c r="H543" s="142" t="s">
        <v>175</v>
      </c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</row>
    <row r="544" spans="1:26" ht="45" x14ac:dyDescent="0.25">
      <c r="A544" s="142" t="s">
        <v>668</v>
      </c>
      <c r="B544" s="142">
        <v>597</v>
      </c>
      <c r="C544" s="143" t="s">
        <v>667</v>
      </c>
      <c r="D544" s="142" t="s">
        <v>572</v>
      </c>
      <c r="E544" s="142">
        <v>1</v>
      </c>
      <c r="F544" s="144">
        <v>338.55</v>
      </c>
      <c r="G544" s="144">
        <v>338.55</v>
      </c>
      <c r="H544" s="142" t="s">
        <v>175</v>
      </c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</row>
    <row r="545" spans="1:26" ht="60" x14ac:dyDescent="0.25">
      <c r="A545" s="142" t="s">
        <v>669</v>
      </c>
      <c r="B545" s="142">
        <v>34369</v>
      </c>
      <c r="C545" s="143" t="s">
        <v>670</v>
      </c>
      <c r="D545" s="142" t="s">
        <v>229</v>
      </c>
      <c r="E545" s="142">
        <v>1</v>
      </c>
      <c r="F545" s="144">
        <v>543.04999999999995</v>
      </c>
      <c r="G545" s="144">
        <v>543.04999999999995</v>
      </c>
      <c r="H545" s="142" t="s">
        <v>175</v>
      </c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</row>
    <row r="546" spans="1:26" ht="60" x14ac:dyDescent="0.25">
      <c r="A546" s="142" t="s">
        <v>671</v>
      </c>
      <c r="B546" s="142">
        <v>34369</v>
      </c>
      <c r="C546" s="143" t="s">
        <v>670</v>
      </c>
      <c r="D546" s="142" t="s">
        <v>229</v>
      </c>
      <c r="E546" s="142">
        <v>1</v>
      </c>
      <c r="F546" s="144">
        <v>543.04999999999995</v>
      </c>
      <c r="G546" s="144">
        <v>543.04999999999995</v>
      </c>
      <c r="H546" s="142" t="s">
        <v>175</v>
      </c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</row>
    <row r="547" spans="1:26" ht="60" x14ac:dyDescent="0.25">
      <c r="A547" s="142" t="s">
        <v>672</v>
      </c>
      <c r="B547" s="142">
        <v>34362</v>
      </c>
      <c r="C547" s="143" t="s">
        <v>673</v>
      </c>
      <c r="D547" s="142" t="s">
        <v>229</v>
      </c>
      <c r="E547" s="142">
        <v>1</v>
      </c>
      <c r="F547" s="144">
        <v>376.81</v>
      </c>
      <c r="G547" s="144">
        <v>376.81</v>
      </c>
      <c r="H547" s="142" t="s">
        <v>175</v>
      </c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</row>
    <row r="548" spans="1:26" ht="60" customHeight="1" x14ac:dyDescent="0.25">
      <c r="A548" s="142" t="s">
        <v>674</v>
      </c>
      <c r="B548">
        <v>34362</v>
      </c>
      <c r="C548" s="121" t="s">
        <v>673</v>
      </c>
      <c r="D548" s="142" t="s">
        <v>229</v>
      </c>
      <c r="E548" s="142">
        <v>1</v>
      </c>
      <c r="F548" s="144">
        <v>376.81</v>
      </c>
      <c r="G548" s="144">
        <v>376.81</v>
      </c>
      <c r="H548" s="142" t="s">
        <v>175</v>
      </c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</row>
    <row r="549" spans="1:26" ht="60" x14ac:dyDescent="0.25">
      <c r="A549" s="142" t="s">
        <v>675</v>
      </c>
      <c r="B549" s="142">
        <v>34363</v>
      </c>
      <c r="C549" s="143" t="s">
        <v>676</v>
      </c>
      <c r="D549" s="142" t="s">
        <v>229</v>
      </c>
      <c r="E549" s="142">
        <v>1</v>
      </c>
      <c r="F549" s="144">
        <v>425.89</v>
      </c>
      <c r="G549" s="144">
        <v>425.89</v>
      </c>
      <c r="H549" s="142" t="s">
        <v>175</v>
      </c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</row>
    <row r="550" spans="1:26" ht="60" x14ac:dyDescent="0.25">
      <c r="A550" s="142" t="s">
        <v>677</v>
      </c>
      <c r="B550" s="142">
        <v>34364</v>
      </c>
      <c r="C550" s="143" t="s">
        <v>678</v>
      </c>
      <c r="D550" s="142" t="s">
        <v>229</v>
      </c>
      <c r="E550" s="142">
        <v>1</v>
      </c>
      <c r="F550" s="144">
        <v>531.17999999999995</v>
      </c>
      <c r="G550" s="144">
        <v>531.17999999999995</v>
      </c>
      <c r="H550" s="142" t="s">
        <v>175</v>
      </c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</row>
    <row r="551" spans="1:26" ht="60" x14ac:dyDescent="0.25">
      <c r="A551" s="142" t="s">
        <v>679</v>
      </c>
      <c r="B551" s="142">
        <v>34364</v>
      </c>
      <c r="C551" s="143" t="s">
        <v>678</v>
      </c>
      <c r="D551" s="142" t="s">
        <v>229</v>
      </c>
      <c r="E551" s="142">
        <v>1</v>
      </c>
      <c r="F551" s="144">
        <v>531.17999999999995</v>
      </c>
      <c r="G551" s="144">
        <v>531.17999999999995</v>
      </c>
      <c r="H551" s="142" t="s">
        <v>175</v>
      </c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</row>
    <row r="552" spans="1:26" ht="60" x14ac:dyDescent="0.25">
      <c r="A552" s="142" t="s">
        <v>680</v>
      </c>
      <c r="B552" s="142">
        <v>34365</v>
      </c>
      <c r="C552" s="143" t="s">
        <v>681</v>
      </c>
      <c r="D552" s="142" t="s">
        <v>229</v>
      </c>
      <c r="E552" s="142">
        <v>1</v>
      </c>
      <c r="F552" s="144">
        <v>598.46</v>
      </c>
      <c r="G552" s="144">
        <v>598.46</v>
      </c>
      <c r="H552" s="142" t="s">
        <v>175</v>
      </c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</row>
    <row r="553" spans="1:26" ht="60" x14ac:dyDescent="0.25">
      <c r="A553" s="142" t="s">
        <v>682</v>
      </c>
      <c r="B553" s="142">
        <v>34365</v>
      </c>
      <c r="C553" s="143" t="s">
        <v>681</v>
      </c>
      <c r="D553" s="142" t="s">
        <v>229</v>
      </c>
      <c r="E553" s="142">
        <v>1</v>
      </c>
      <c r="F553" s="144">
        <v>598.46</v>
      </c>
      <c r="G553" s="144">
        <v>598.46</v>
      </c>
      <c r="H553" s="142" t="s">
        <v>175</v>
      </c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</row>
    <row r="554" spans="1:26" ht="105" x14ac:dyDescent="0.25">
      <c r="A554" s="142" t="s">
        <v>683</v>
      </c>
      <c r="B554">
        <v>40659</v>
      </c>
      <c r="C554" s="143" t="s">
        <v>684</v>
      </c>
      <c r="D554" s="142" t="s">
        <v>572</v>
      </c>
      <c r="E554" s="142">
        <v>1</v>
      </c>
      <c r="F554" s="144">
        <v>376.76</v>
      </c>
      <c r="G554" s="144">
        <v>376.76</v>
      </c>
      <c r="H554" s="142" t="s">
        <v>175</v>
      </c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</row>
    <row r="555" spans="1:26" ht="105" x14ac:dyDescent="0.25">
      <c r="A555" s="142" t="s">
        <v>685</v>
      </c>
      <c r="B555" s="142">
        <v>40659</v>
      </c>
      <c r="C555" s="143" t="s">
        <v>684</v>
      </c>
      <c r="D555" s="142" t="s">
        <v>572</v>
      </c>
      <c r="E555" s="142">
        <v>1</v>
      </c>
      <c r="F555" s="144">
        <v>376.76</v>
      </c>
      <c r="G555" s="144">
        <v>376.76</v>
      </c>
      <c r="H555" s="142" t="s">
        <v>175</v>
      </c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</row>
    <row r="556" spans="1:26" ht="90" x14ac:dyDescent="0.25">
      <c r="A556" s="142" t="s">
        <v>686</v>
      </c>
      <c r="B556" s="142">
        <v>40660</v>
      </c>
      <c r="C556" s="143" t="s">
        <v>687</v>
      </c>
      <c r="D556" s="142" t="s">
        <v>572</v>
      </c>
      <c r="E556" s="142">
        <v>1</v>
      </c>
      <c r="F556" s="144">
        <v>477.5</v>
      </c>
      <c r="G556" s="144">
        <v>477.5</v>
      </c>
      <c r="H556" s="142" t="s">
        <v>175</v>
      </c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</row>
    <row r="557" spans="1:26" ht="90" x14ac:dyDescent="0.25">
      <c r="A557" s="142" t="s">
        <v>688</v>
      </c>
      <c r="B557" s="142">
        <v>40660</v>
      </c>
      <c r="C557" s="143" t="s">
        <v>687</v>
      </c>
      <c r="D557" s="142" t="s">
        <v>572</v>
      </c>
      <c r="E557" s="142">
        <v>1</v>
      </c>
      <c r="F557" s="144">
        <v>477.5</v>
      </c>
      <c r="G557" s="144">
        <v>477.5</v>
      </c>
      <c r="H557" s="142" t="s">
        <v>175</v>
      </c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</row>
    <row r="558" spans="1:26" ht="90" x14ac:dyDescent="0.25">
      <c r="A558" s="142" t="s">
        <v>689</v>
      </c>
      <c r="B558" s="142">
        <v>40661</v>
      </c>
      <c r="C558" s="143" t="s">
        <v>690</v>
      </c>
      <c r="D558" s="142" t="s">
        <v>572</v>
      </c>
      <c r="E558" s="142">
        <v>1</v>
      </c>
      <c r="F558" s="144">
        <v>293.58</v>
      </c>
      <c r="G558" s="144">
        <v>293.58</v>
      </c>
      <c r="H558" s="142" t="s">
        <v>175</v>
      </c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</row>
    <row r="559" spans="1:26" ht="90" x14ac:dyDescent="0.25">
      <c r="A559" s="142" t="s">
        <v>691</v>
      </c>
      <c r="B559" s="142">
        <v>40661</v>
      </c>
      <c r="C559" s="143" t="s">
        <v>690</v>
      </c>
      <c r="D559" s="142" t="s">
        <v>572</v>
      </c>
      <c r="E559" s="142">
        <v>1</v>
      </c>
      <c r="F559" s="144">
        <v>293.58</v>
      </c>
      <c r="G559" s="144">
        <v>293.58</v>
      </c>
      <c r="H559" s="142" t="s">
        <v>175</v>
      </c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</row>
    <row r="560" spans="1:26" ht="90" x14ac:dyDescent="0.25">
      <c r="A560" s="142" t="s">
        <v>692</v>
      </c>
      <c r="B560" s="142">
        <v>3421</v>
      </c>
      <c r="C560" s="143" t="s">
        <v>693</v>
      </c>
      <c r="D560" s="142" t="s">
        <v>572</v>
      </c>
      <c r="E560" s="142">
        <v>1</v>
      </c>
      <c r="F560" s="144">
        <v>295.83</v>
      </c>
      <c r="G560" s="144">
        <v>295.83</v>
      </c>
      <c r="H560" s="142" t="s">
        <v>175</v>
      </c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</row>
    <row r="561" spans="1:26" ht="90" x14ac:dyDescent="0.25">
      <c r="A561" s="142" t="s">
        <v>694</v>
      </c>
      <c r="B561">
        <v>3421</v>
      </c>
      <c r="C561" s="143" t="s">
        <v>693</v>
      </c>
      <c r="D561" s="142" t="s">
        <v>572</v>
      </c>
      <c r="E561" s="142">
        <v>1</v>
      </c>
      <c r="F561" s="144">
        <v>295.83</v>
      </c>
      <c r="G561" s="144">
        <v>295.83</v>
      </c>
      <c r="H561" s="142" t="s">
        <v>175</v>
      </c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</row>
    <row r="562" spans="1:26" ht="45" x14ac:dyDescent="0.25">
      <c r="A562" s="142" t="s">
        <v>695</v>
      </c>
      <c r="B562" s="142">
        <v>599</v>
      </c>
      <c r="C562" s="143" t="s">
        <v>696</v>
      </c>
      <c r="D562" s="142" t="s">
        <v>572</v>
      </c>
      <c r="E562" s="142">
        <v>1</v>
      </c>
      <c r="F562" s="144">
        <v>286.95999999999998</v>
      </c>
      <c r="G562" s="144">
        <v>286.95999999999998</v>
      </c>
      <c r="H562" s="142" t="s">
        <v>175</v>
      </c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</row>
    <row r="563" spans="1:26" ht="45" x14ac:dyDescent="0.25">
      <c r="A563" s="142" t="s">
        <v>697</v>
      </c>
      <c r="B563" s="142">
        <v>599</v>
      </c>
      <c r="C563" s="143" t="s">
        <v>696</v>
      </c>
      <c r="D563" s="142" t="s">
        <v>572</v>
      </c>
      <c r="E563" s="142">
        <v>1</v>
      </c>
      <c r="F563" s="144">
        <v>286.95999999999998</v>
      </c>
      <c r="G563" s="144">
        <v>286.95999999999998</v>
      </c>
      <c r="H563" s="142" t="s">
        <v>175</v>
      </c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</row>
    <row r="564" spans="1:26" ht="45" x14ac:dyDescent="0.25">
      <c r="A564" s="142" t="s">
        <v>698</v>
      </c>
      <c r="B564" s="142">
        <v>34380</v>
      </c>
      <c r="C564" s="143" t="s">
        <v>699</v>
      </c>
      <c r="D564" s="142" t="s">
        <v>229</v>
      </c>
      <c r="E564" s="142">
        <v>1</v>
      </c>
      <c r="F564" s="144">
        <v>148.82</v>
      </c>
      <c r="G564" s="144">
        <v>148.82</v>
      </c>
      <c r="H564" s="142" t="s">
        <v>175</v>
      </c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</row>
    <row r="565" spans="1:26" ht="45" x14ac:dyDescent="0.25">
      <c r="A565" s="142" t="s">
        <v>700</v>
      </c>
      <c r="B565" s="142">
        <v>34380</v>
      </c>
      <c r="C565" s="143" t="s">
        <v>699</v>
      </c>
      <c r="D565" s="142" t="s">
        <v>229</v>
      </c>
      <c r="E565" s="142">
        <v>1</v>
      </c>
      <c r="F565" s="144">
        <v>148.82</v>
      </c>
      <c r="G565" s="144">
        <v>148.82</v>
      </c>
      <c r="H565" s="142" t="s">
        <v>175</v>
      </c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</row>
    <row r="566" spans="1:26" ht="45" x14ac:dyDescent="0.25">
      <c r="A566" s="142" t="s">
        <v>701</v>
      </c>
      <c r="B566" s="142">
        <v>34380</v>
      </c>
      <c r="C566" s="143" t="s">
        <v>699</v>
      </c>
      <c r="D566" s="142" t="s">
        <v>229</v>
      </c>
      <c r="E566" s="142">
        <v>1</v>
      </c>
      <c r="F566" s="144">
        <v>148.82</v>
      </c>
      <c r="G566" s="144">
        <v>148.82</v>
      </c>
      <c r="H566" s="142" t="s">
        <v>175</v>
      </c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</row>
    <row r="567" spans="1:26" ht="45" x14ac:dyDescent="0.25">
      <c r="A567" s="142" t="s">
        <v>702</v>
      </c>
      <c r="B567" s="142">
        <v>34381</v>
      </c>
      <c r="C567" s="143" t="s">
        <v>703</v>
      </c>
      <c r="D567" s="142" t="s">
        <v>229</v>
      </c>
      <c r="E567" s="142">
        <v>1</v>
      </c>
      <c r="F567" s="144">
        <v>193.94</v>
      </c>
      <c r="G567" s="144">
        <v>193.94</v>
      </c>
      <c r="H567" s="142" t="s">
        <v>175</v>
      </c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</row>
    <row r="568" spans="1:26" ht="45" x14ac:dyDescent="0.25">
      <c r="A568" s="142" t="s">
        <v>704</v>
      </c>
      <c r="B568">
        <v>34381</v>
      </c>
      <c r="C568" s="121" t="s">
        <v>703</v>
      </c>
      <c r="D568" s="142" t="s">
        <v>229</v>
      </c>
      <c r="E568" s="142">
        <v>1</v>
      </c>
      <c r="F568" s="144">
        <v>193.94</v>
      </c>
      <c r="G568" s="144">
        <v>193.94</v>
      </c>
      <c r="H568" s="142" t="s">
        <v>175</v>
      </c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</row>
    <row r="569" spans="1:26" ht="45" x14ac:dyDescent="0.25">
      <c r="A569" s="142" t="s">
        <v>705</v>
      </c>
      <c r="B569" s="142">
        <v>601</v>
      </c>
      <c r="C569" s="143" t="s">
        <v>703</v>
      </c>
      <c r="D569" s="142" t="s">
        <v>572</v>
      </c>
      <c r="E569" s="142">
        <v>1</v>
      </c>
      <c r="F569" s="144">
        <v>387.11</v>
      </c>
      <c r="G569" s="144">
        <v>387.11</v>
      </c>
      <c r="H569" s="142" t="s">
        <v>175</v>
      </c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</row>
    <row r="570" spans="1:26" ht="45" x14ac:dyDescent="0.25">
      <c r="A570" s="142" t="s">
        <v>706</v>
      </c>
      <c r="B570" s="142">
        <v>601</v>
      </c>
      <c r="C570" s="143" t="s">
        <v>703</v>
      </c>
      <c r="D570" s="142" t="s">
        <v>572</v>
      </c>
      <c r="E570" s="142">
        <v>1</v>
      </c>
      <c r="F570" s="144">
        <v>387.11</v>
      </c>
      <c r="G570" s="144">
        <v>387.11</v>
      </c>
      <c r="H570" s="142" t="s">
        <v>175</v>
      </c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</row>
    <row r="571" spans="1:26" ht="30" x14ac:dyDescent="0.25">
      <c r="A571" t="s">
        <v>707</v>
      </c>
      <c r="B571">
        <v>38177</v>
      </c>
      <c r="C571" s="121" t="s">
        <v>708</v>
      </c>
      <c r="D571" t="s">
        <v>229</v>
      </c>
      <c r="E571">
        <v>1</v>
      </c>
      <c r="F571" s="122">
        <v>7.68</v>
      </c>
      <c r="G571" s="122">
        <v>7.68</v>
      </c>
      <c r="H571" t="s">
        <v>175</v>
      </c>
      <c r="I571"/>
      <c r="J571"/>
      <c r="K571"/>
      <c r="L571"/>
      <c r="M571"/>
      <c r="N571"/>
      <c r="O571"/>
      <c r="P571"/>
      <c r="R571"/>
      <c r="T571"/>
      <c r="V571"/>
      <c r="X571"/>
      <c r="Z571"/>
    </row>
    <row r="572" spans="1:26" ht="30" x14ac:dyDescent="0.25">
      <c r="A572" t="s">
        <v>709</v>
      </c>
      <c r="B572">
        <v>38177</v>
      </c>
      <c r="C572" s="121" t="s">
        <v>708</v>
      </c>
      <c r="D572" t="s">
        <v>229</v>
      </c>
      <c r="E572">
        <v>1</v>
      </c>
      <c r="F572" s="122">
        <v>7.68</v>
      </c>
      <c r="G572" s="122">
        <v>7.68</v>
      </c>
      <c r="H572" t="s">
        <v>175</v>
      </c>
      <c r="I572"/>
      <c r="J572"/>
      <c r="K572"/>
      <c r="L572"/>
      <c r="M572"/>
      <c r="N572"/>
      <c r="O572"/>
      <c r="P572"/>
      <c r="R572"/>
      <c r="T572"/>
      <c r="V572"/>
      <c r="X572"/>
      <c r="Z572"/>
    </row>
  </sheetData>
  <sortState ref="A5:AB406">
    <sortCondition ref="C5:C406"/>
  </sortState>
  <mergeCells count="4">
    <mergeCell ref="A1:Z1"/>
    <mergeCell ref="A2:H2"/>
    <mergeCell ref="I2:P2"/>
    <mergeCell ref="Q2:Z2"/>
  </mergeCells>
  <phoneticPr fontId="30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0" sqref="D10"/>
    </sheetView>
  </sheetViews>
  <sheetFormatPr defaultRowHeight="15" x14ac:dyDescent="0.25"/>
  <cols>
    <col min="1" max="2" width="9.140625" style="6"/>
    <col min="3" max="3" width="54.7109375" style="121" customWidth="1"/>
    <col min="4" max="9" width="12.7109375" customWidth="1"/>
    <col min="10" max="10" width="10.140625" bestFit="1" customWidth="1"/>
  </cols>
  <sheetData>
    <row r="1" spans="1:10" s="353" customFormat="1" ht="64.5" customHeight="1" x14ac:dyDescent="0.25">
      <c r="B1" s="147"/>
      <c r="C1" s="436" t="s">
        <v>1837</v>
      </c>
      <c r="D1" s="437"/>
      <c r="E1" s="437"/>
      <c r="F1" s="437"/>
      <c r="G1" s="437"/>
      <c r="H1" s="437"/>
      <c r="I1" s="438"/>
    </row>
    <row r="2" spans="1:10" s="6" customFormat="1" x14ac:dyDescent="0.25">
      <c r="A2" s="8"/>
      <c r="B2" s="8"/>
      <c r="C2" s="421"/>
      <c r="D2" s="439" t="s">
        <v>1828</v>
      </c>
      <c r="E2" s="440"/>
      <c r="F2" s="440"/>
      <c r="G2" s="440"/>
      <c r="H2" s="440"/>
      <c r="I2" s="441"/>
    </row>
    <row r="3" spans="1:10" s="352" customFormat="1" ht="24" x14ac:dyDescent="0.25">
      <c r="A3" s="418"/>
      <c r="B3" s="418"/>
      <c r="C3" s="422" t="s">
        <v>1835</v>
      </c>
      <c r="D3" s="120" t="s">
        <v>1829</v>
      </c>
      <c r="E3" s="162" t="s">
        <v>1830</v>
      </c>
      <c r="F3" s="172" t="s">
        <v>1831</v>
      </c>
      <c r="G3" s="163" t="s">
        <v>1832</v>
      </c>
      <c r="H3" s="164" t="s">
        <v>1833</v>
      </c>
      <c r="I3" s="419" t="s">
        <v>1834</v>
      </c>
    </row>
    <row r="4" spans="1:10" x14ac:dyDescent="0.25">
      <c r="A4" s="8"/>
      <c r="B4" s="8"/>
      <c r="C4" s="423"/>
      <c r="D4" s="125"/>
      <c r="E4" s="125"/>
      <c r="F4" s="125"/>
      <c r="G4" s="125"/>
      <c r="H4" s="125"/>
      <c r="I4" s="424"/>
    </row>
    <row r="5" spans="1:10" x14ac:dyDescent="0.25">
      <c r="A5" s="8"/>
      <c r="B5" s="8"/>
      <c r="C5" s="423" t="str">
        <f>'1 - mat elétrico OK'!C3</f>
        <v>LOTE 1 - MATERIAL ELÉTRICO</v>
      </c>
      <c r="D5" s="138">
        <f>'1 - mat elétrico OK'!G199</f>
        <v>148998.7674999999</v>
      </c>
      <c r="E5" s="138">
        <f>'1 - mat elétrico OK'!R199</f>
        <v>17378.392291666671</v>
      </c>
      <c r="F5" s="138">
        <f>'1 - mat elétrico OK'!T199</f>
        <v>36487.505416666667</v>
      </c>
      <c r="G5" s="138">
        <f>'1 - mat elétrico OK'!V199</f>
        <v>48481.291666666664</v>
      </c>
      <c r="H5" s="138">
        <f>'1 - mat elétrico OK'!X199</f>
        <v>16566.291666666672</v>
      </c>
      <c r="I5" s="425">
        <f>'1 - mat elétrico OK'!Z199</f>
        <v>30085.286458333339</v>
      </c>
      <c r="J5" s="122"/>
    </row>
    <row r="6" spans="1:10" x14ac:dyDescent="0.25">
      <c r="A6" s="8"/>
      <c r="B6" s="8"/>
      <c r="C6" s="423" t="str">
        <f>'2 - Hidrossanitário OK'!C3</f>
        <v>LOTE 2 - MATERIAL HIDROSSANITÁRIO</v>
      </c>
      <c r="D6" s="138">
        <f>'2 - Hidrossanitário OK'!G142</f>
        <v>138390.80249999999</v>
      </c>
      <c r="E6" s="138">
        <f>'2 - Hidrossanitário OK'!R142</f>
        <v>21436.137500000001</v>
      </c>
      <c r="F6" s="138">
        <f>'2 - Hidrossanitário OK'!T142</f>
        <v>16912.357500000002</v>
      </c>
      <c r="G6" s="138">
        <f>'2 - Hidrossanitário OK'!V142</f>
        <v>50255.2575</v>
      </c>
      <c r="H6" s="138">
        <f>'2 - Hidrossanitário OK'!X142</f>
        <v>21309.205000000002</v>
      </c>
      <c r="I6" s="425">
        <f>'2 - Hidrossanitário OK'!Z142</f>
        <v>28477.845000000005</v>
      </c>
      <c r="J6" s="122"/>
    </row>
    <row r="7" spans="1:10" x14ac:dyDescent="0.25">
      <c r="A7" s="8"/>
      <c r="B7" s="8"/>
      <c r="C7" s="423" t="str">
        <f>'3 -madeiras OK'!C3</f>
        <v>LOTE3 - Madeiras</v>
      </c>
      <c r="D7" s="138">
        <f>'3 -madeiras OK'!G48</f>
        <v>120415.90000000001</v>
      </c>
      <c r="E7" s="138">
        <f>'3 -madeiras OK'!R48</f>
        <v>4095.2166666666667</v>
      </c>
      <c r="F7" s="138">
        <f>'3 -madeiras OK'!T48</f>
        <v>14201.583333333332</v>
      </c>
      <c r="G7" s="138">
        <f>'3 -madeiras OK'!V48</f>
        <v>25948.233333333334</v>
      </c>
      <c r="H7" s="138">
        <f>'3 -madeiras OK'!X48</f>
        <v>48450.816666666673</v>
      </c>
      <c r="I7" s="425">
        <f>'3 -madeiras OK'!Z48</f>
        <v>27720.05</v>
      </c>
      <c r="J7" s="122"/>
    </row>
    <row r="8" spans="1:10" x14ac:dyDescent="0.25">
      <c r="A8" s="8"/>
      <c r="B8" s="8"/>
      <c r="C8" s="423" t="str">
        <f>'4 - PINTURAS OK'!C3</f>
        <v>LOTE 4 - MATERIAL PARA PINTURA</v>
      </c>
      <c r="D8" s="138">
        <f>'4 - PINTURAS OK'!G45</f>
        <v>54769.290000000008</v>
      </c>
      <c r="E8" s="138">
        <f>'4 - PINTURAS OK'!R45</f>
        <v>3887.6400000000003</v>
      </c>
      <c r="F8" s="138">
        <f>'4 - PINTURAS OK'!T45</f>
        <v>17950.149999999998</v>
      </c>
      <c r="G8" s="138">
        <f>'4 - PINTURAS OK'!V45</f>
        <v>11988.773333333336</v>
      </c>
      <c r="H8" s="138">
        <f>'4 - PINTURAS OK'!X45</f>
        <v>9613.7033333333329</v>
      </c>
      <c r="I8" s="425">
        <f>'4 - PINTURAS OK'!Z45</f>
        <v>11329.023333333333</v>
      </c>
      <c r="J8" s="122"/>
    </row>
    <row r="9" spans="1:10" ht="30" x14ac:dyDescent="0.25">
      <c r="A9" s="8"/>
      <c r="B9" s="8"/>
      <c r="C9" s="423" t="str">
        <f>'5 -Mat. Pesado'!C3</f>
        <v>LOTE 5 - MATERIAL PESADO, FERRAGENS, ABERTURAS, FERRAMENTAS E DEMAIS MATERIAIS PARA OBRAS</v>
      </c>
      <c r="D9" s="138">
        <f>'5 -Mat. Pesado'!G408</f>
        <v>713902.69898888934</v>
      </c>
      <c r="E9" s="138">
        <f>'5 -Mat. Pesado'!R408</f>
        <v>64491.579238888902</v>
      </c>
      <c r="F9" s="138">
        <f>'5 -Mat. Pesado'!T408</f>
        <v>170825.26300000001</v>
      </c>
      <c r="G9" s="138">
        <f>'5 -Mat. Pesado'!V408</f>
        <v>164603.75838888888</v>
      </c>
      <c r="H9" s="138">
        <f>'5 -Mat. Pesado'!X408</f>
        <v>176068.99138888883</v>
      </c>
      <c r="I9" s="425">
        <f>'5 -Mat. Pesado'!Z408</f>
        <v>137913.10697222222</v>
      </c>
      <c r="J9" s="122"/>
    </row>
    <row r="10" spans="1:10" s="6" customFormat="1" x14ac:dyDescent="0.25">
      <c r="A10" s="8"/>
      <c r="B10" s="8"/>
      <c r="C10" s="420" t="s">
        <v>1836</v>
      </c>
      <c r="D10" s="262">
        <f>SUM(D5:D9)</f>
        <v>1176477.4589888891</v>
      </c>
      <c r="E10" s="262">
        <f t="shared" ref="E10:I10" si="0">SUM(E5:E9)</f>
        <v>111288.96569722224</v>
      </c>
      <c r="F10" s="262">
        <f t="shared" si="0"/>
        <v>256376.85924999998</v>
      </c>
      <c r="G10" s="262">
        <f t="shared" si="0"/>
        <v>301277.31422222219</v>
      </c>
      <c r="H10" s="262">
        <f t="shared" si="0"/>
        <v>272009.00805555552</v>
      </c>
      <c r="I10" s="262">
        <f t="shared" si="0"/>
        <v>235525.31176388889</v>
      </c>
    </row>
    <row r="13" spans="1:10" x14ac:dyDescent="0.25">
      <c r="C13" s="121" t="s">
        <v>1838</v>
      </c>
    </row>
    <row r="14" spans="1:10" ht="30.75" customHeight="1" x14ac:dyDescent="0.25">
      <c r="B14" s="6" t="s">
        <v>1841</v>
      </c>
      <c r="C14" s="433" t="s">
        <v>1839</v>
      </c>
      <c r="D14" s="433"/>
      <c r="E14" s="433"/>
      <c r="F14" s="433"/>
      <c r="G14" s="433"/>
      <c r="H14" s="433"/>
    </row>
    <row r="16" spans="1:10" ht="60" customHeight="1" x14ac:dyDescent="0.25">
      <c r="B16" s="6" t="s">
        <v>1842</v>
      </c>
      <c r="C16" s="434" t="s">
        <v>1840</v>
      </c>
      <c r="D16" s="434"/>
      <c r="E16" s="434"/>
      <c r="F16" s="434"/>
      <c r="G16" s="434"/>
      <c r="H16" s="434"/>
    </row>
    <row r="17" spans="2:8" ht="30" customHeight="1" x14ac:dyDescent="0.25">
      <c r="B17" s="6" t="s">
        <v>1843</v>
      </c>
      <c r="C17" s="435" t="s">
        <v>1844</v>
      </c>
      <c r="D17" s="435"/>
      <c r="E17" s="435"/>
      <c r="F17" s="435"/>
      <c r="G17" s="435"/>
      <c r="H17" s="435"/>
    </row>
  </sheetData>
  <mergeCells count="5">
    <mergeCell ref="C14:H14"/>
    <mergeCell ref="C16:H16"/>
    <mergeCell ref="C17:H17"/>
    <mergeCell ref="C1:I1"/>
    <mergeCell ref="D2:I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1 - mat elétrico OK</vt:lpstr>
      <vt:lpstr>2 - Hidrossanitário OK</vt:lpstr>
      <vt:lpstr>3 -madeiras OK</vt:lpstr>
      <vt:lpstr>4 - PINTURAS OK</vt:lpstr>
      <vt:lpstr>5 -Mat. Pesado</vt:lpstr>
      <vt:lpstr>Planilha6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Benta de Fátima Furtado</dc:creator>
  <cp:lastModifiedBy>Carla Goss de Melo</cp:lastModifiedBy>
  <cp:lastPrinted>2020-03-17T17:38:48Z</cp:lastPrinted>
  <dcterms:created xsi:type="dcterms:W3CDTF">2020-02-12T17:34:20Z</dcterms:created>
  <dcterms:modified xsi:type="dcterms:W3CDTF">2020-05-08T18:07:03Z</dcterms:modified>
</cp:coreProperties>
</file>