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20" windowWidth="15120" windowHeight="4185" tabRatio="857" activeTab="0"/>
  </bookViews>
  <sheets>
    <sheet name="BDI" sheetId="1" r:id="rId1"/>
  </sheets>
  <definedNames>
    <definedName name="_xlfn.SUMIFS" hidden="1">#NAME?</definedName>
    <definedName name="_xlnm.Print_Area" localSheetId="0">'BDI'!$A$1:$L$52</definedName>
    <definedName name="matriz">'BDI'!$Q$17:$V$21</definedName>
    <definedName name="matriz2">'BDI'!$Q$23:$V$27</definedName>
    <definedName name="TESTE">'BDI'!IN:IN*'BDI'!IO:IO</definedName>
  </definedNames>
  <calcPr fullCalcOnLoad="1"/>
</workbook>
</file>

<file path=xl/sharedStrings.xml><?xml version="1.0" encoding="utf-8"?>
<sst xmlns="http://schemas.openxmlformats.org/spreadsheetml/2006/main" count="114" uniqueCount="99">
  <si>
    <t>L</t>
  </si>
  <si>
    <t>Data</t>
  </si>
  <si>
    <t>Localização</t>
  </si>
  <si>
    <t>Empreendimento</t>
  </si>
  <si>
    <t>Programa</t>
  </si>
  <si>
    <t>Agente Promotor</t>
  </si>
  <si>
    <t>R</t>
  </si>
  <si>
    <t>DF</t>
  </si>
  <si>
    <t>AC</t>
  </si>
  <si>
    <t>ITEM</t>
  </si>
  <si>
    <t xml:space="preserve">Nome: </t>
  </si>
  <si>
    <t>Número do Contrato</t>
  </si>
  <si>
    <t>.</t>
  </si>
  <si>
    <t>Registro:</t>
  </si>
  <si>
    <t>ART/RRT:</t>
  </si>
  <si>
    <t>TIPO DE OBRA</t>
  </si>
  <si>
    <t>ADMINISTRAÇÃO CENTRAL</t>
  </si>
  <si>
    <t>DESPESAS FINANCEIRAS</t>
  </si>
  <si>
    <t>TAXA REPRESENTATIVA DE TRIBUTOS</t>
  </si>
  <si>
    <t>SIGLAS</t>
  </si>
  <si>
    <t>DESCRIÇÃO ANALÍTICA</t>
  </si>
  <si>
    <t>PIS</t>
  </si>
  <si>
    <t>COFINS</t>
  </si>
  <si>
    <t>ISS</t>
  </si>
  <si>
    <t>SITUAÇÃO</t>
  </si>
  <si>
    <t>6.1</t>
  </si>
  <si>
    <t>6.2</t>
  </si>
  <si>
    <t>6.3</t>
  </si>
  <si>
    <t>BDI</t>
  </si>
  <si>
    <t>RISCO</t>
  </si>
  <si>
    <t>PERCENTUAL</t>
  </si>
  <si>
    <t>Justificativas e Observações: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</si>
  <si>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</si>
  <si>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</si>
  <si>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</si>
  <si>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</si>
  <si>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</si>
  <si>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</si>
  <si>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SEGURO E GARANTIA</t>
  </si>
  <si>
    <t>S + G</t>
  </si>
  <si>
    <t>LUCRO</t>
  </si>
  <si>
    <t>minimos</t>
  </si>
  <si>
    <t>maximos</t>
  </si>
  <si>
    <t>de 20,34% a 25,00%</t>
  </si>
  <si>
    <t>de 19,60% a 24,23%</t>
  </si>
  <si>
    <t>de 20,76% a 26,44%</t>
  </si>
  <si>
    <t>de 24,00% a 27,86%</t>
  </si>
  <si>
    <t>de 22,80% a 30,95%</t>
  </si>
  <si>
    <t>de 11,10% a 16,80%</t>
  </si>
  <si>
    <t>LIMITES DE BDI</t>
  </si>
  <si>
    <t>OK</t>
  </si>
  <si>
    <t>Fórmula - Acórdão TCU 2.622/2013:</t>
  </si>
  <si>
    <t>LIMITE CONFORME ACÓRDÃO TCU 2.622/2013</t>
  </si>
  <si>
    <t>%</t>
  </si>
  <si>
    <t>CPRB</t>
  </si>
  <si>
    <t>CONTRIBUIÇÃO PREVIDENCIÁRIA SOBRE A RECEITA BRUTA</t>
  </si>
  <si>
    <t>6.4</t>
  </si>
  <si>
    <t>real</t>
  </si>
  <si>
    <t>final</t>
  </si>
  <si>
    <t>1= abaixo</t>
  </si>
  <si>
    <t>2= dentro</t>
  </si>
  <si>
    <t>3= acima</t>
  </si>
  <si>
    <t>2= final abaixo</t>
  </si>
  <si>
    <t>3= final dentro real abaixo</t>
  </si>
  <si>
    <t>4= final dentro real dentro</t>
  </si>
  <si>
    <t>5= final acima real dentro</t>
  </si>
  <si>
    <t>6= final acima real acima</t>
  </si>
  <si>
    <t>OK!</t>
  </si>
  <si>
    <t>OK! Percentual do BDI quando calculado sem desoneração atende ao limite estipulado pelo Acórdão TCU 2.622/2013.</t>
  </si>
  <si>
    <t>I = PIS+COFINS+ISS+CPRB</t>
  </si>
  <si>
    <t>Composição do BDI para obras com mão-de-obra onerada</t>
  </si>
  <si>
    <t>Obs¹: Para pagamento de material em canteiro, quando possível nos programas do Gestor, o BDI de Materiais deve ser limitado a 12,00%.</t>
  </si>
  <si>
    <t>Percentual do BDI inferior ao limite estipulado pelo Acórdão TCU 2.622/2013.</t>
  </si>
  <si>
    <t>Percentual do BDI quando calculado sem desoneração é inferior ao limite estipulado pelo Acórdão TCU 2.622/2013.</t>
  </si>
  <si>
    <t>Percentual do BDI superior ao limite estipulado pelo Acórdão TCU 2.622/2013.</t>
  </si>
  <si>
    <t>Base de cálculo:</t>
  </si>
  <si>
    <t>Alíquota ISS:</t>
  </si>
  <si>
    <t>Responsável Técnico pela Composição do BDI</t>
  </si>
  <si>
    <t>Declaração do Tomador dos Recursos:</t>
  </si>
  <si>
    <t>Nome:</t>
  </si>
  <si>
    <t>CPF:</t>
  </si>
  <si>
    <t>Cargo:</t>
  </si>
  <si>
    <t>Responsável indicado pelo Tomador</t>
  </si>
  <si>
    <t>Eu, responsável técnico pelo orçamento, declaro para os devidos fins, que a opção pela desoneração sobre a folha de pagamento é mais adequada para a administração pública.</t>
  </si>
  <si>
    <t>Eu, responsável técnico pelo orçamento, declaro para os devidos fins, que a opção pela oneração sobre a folha de pagamento é mais adequada para a administração pública.</t>
  </si>
  <si>
    <t>Calculo real:</t>
  </si>
  <si>
    <t>onerado</t>
  </si>
  <si>
    <t>desonerado</t>
  </si>
  <si>
    <t>1º QUARTIL (MÍNIMO)</t>
  </si>
  <si>
    <t>3º QUARTIL (MÁXIMO)</t>
  </si>
  <si>
    <t>Composição do BDI para obras com mão-de-obra desonerada (conforme Lei 13.161 de 2015)</t>
  </si>
  <si>
    <t>VERSÃO 1.18 (Dez/2015)</t>
  </si>
  <si>
    <t>São Joaquim</t>
  </si>
  <si>
    <t>Diretora de Tributação</t>
  </si>
  <si>
    <t>Adriana Baesso</t>
  </si>
  <si>
    <t>852.807.479-04</t>
  </si>
  <si>
    <t>Prefeitura Municipal de São Joaquim</t>
  </si>
  <si>
    <t>Ismael Silva Pereira</t>
  </si>
  <si>
    <t>178954-1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</si>
</sst>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;[Red]\-#,##0.0000"/>
    <numFmt numFmtId="173" formatCode="#,##0.00_ ;\-#,##0.00\ "/>
    <numFmt numFmtId="174" formatCode="_(&quot;R$&quot;* #,##0.00_);_(&quot;R$&quot;* \(#,##0.00\);_(&quot;R$&quot;* &quot;-&quot;??_);_(@_)"/>
    <numFmt numFmtId="175" formatCode="[$-416]mmmm\-yy;@"/>
    <numFmt numFmtId="176" formatCode="[$-416]mmm\-yy;@"/>
    <numFmt numFmtId="177" formatCode="d/m/yy;@"/>
    <numFmt numFmtId="178" formatCode="[$-416]dddd\,\ d&quot; de &quot;mmmm&quot; de &quot;yyyy"/>
    <numFmt numFmtId="179" formatCode="&quot;R$&quot;\ #,##0.00"/>
    <numFmt numFmtId="180" formatCode="_(&quot;R$&quot;* #,##0.000_);_(&quot;R$&quot;* \(#,##0.000\);_(&quot;R$&quot;* &quot;-&quot;??_);_(@_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_(* #,##0.00_);_(* \(#,##0.00\);_(* &quot;-&quot;??????_);_(@_)"/>
    <numFmt numFmtId="193" formatCode="_(* #,##0_);_(* \(#,##0\);_(* &quot;-&quot;??_);_(@_)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0.0%"/>
    <numFmt numFmtId="199" formatCode="@&quot;%&quot;"/>
    <numFmt numFmtId="200" formatCode="@&quot;.&quot;"/>
  </numFmts>
  <fonts count="57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23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7"/>
      <color indexed="9"/>
      <name val="Arial"/>
      <family val="2"/>
    </font>
    <font>
      <sz val="7.5"/>
      <color indexed="9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u val="single"/>
      <sz val="11"/>
      <color indexed="2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hair"/>
      <top style="medium">
        <color indexed="54"/>
      </top>
      <bottom style="medium">
        <color indexed="54"/>
      </bottom>
    </border>
    <border>
      <left style="hair"/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hair"/>
      <top style="hair"/>
      <bottom style="medium">
        <color indexed="54"/>
      </bottom>
    </border>
    <border>
      <left style="hair"/>
      <right>
        <color indexed="63"/>
      </right>
      <top style="hair"/>
      <bottom style="medium">
        <color indexed="5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>
        <color indexed="54"/>
      </left>
      <right style="hair"/>
      <top style="medium">
        <color indexed="54"/>
      </top>
      <bottom style="hair"/>
    </border>
    <border>
      <left style="medium">
        <color indexed="54"/>
      </left>
      <right style="hair"/>
      <top style="hair"/>
      <bottom style="hair"/>
    </border>
    <border>
      <left style="hair"/>
      <right style="medium">
        <color indexed="54"/>
      </right>
      <top style="medium">
        <color indexed="54"/>
      </top>
      <bottom style="hair"/>
    </border>
    <border>
      <left style="hair"/>
      <right style="medium">
        <color indexed="54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0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9" fillId="3" borderId="0" applyNumberFormat="0" applyBorder="0" applyAlignment="0" applyProtection="0"/>
    <xf numFmtId="0" fontId="51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5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2" fillId="37" borderId="2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5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6" fillId="39" borderId="3" applyNumberFormat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4" fillId="44" borderId="6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7" borderId="1" applyNumberFormat="0" applyAlignment="0" applyProtection="0"/>
    <xf numFmtId="0" fontId="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5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48" borderId="10" applyNumberFormat="0" applyFon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1" fillId="50" borderId="11" applyNumberFormat="0" applyFont="0" applyAlignment="0" applyProtection="0"/>
    <xf numFmtId="0" fontId="11" fillId="35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172" fontId="17" fillId="0" borderId="0" applyFill="0" applyBorder="0" applyProtection="0">
      <alignment horizontal="center" textRotation="90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72" fontId="19" fillId="0" borderId="0" applyFill="0" applyBorder="0" applyProtection="0">
      <alignment horizontal="center" textRotation="90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171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9" fillId="0" borderId="0" xfId="255" applyNumberFormat="1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263" applyBorder="1" applyAlignment="1" applyProtection="1">
      <alignment/>
      <protection/>
    </xf>
    <xf numFmtId="0" fontId="28" fillId="0" borderId="0" xfId="258" applyNumberFormat="1" applyFont="1" applyBorder="1" applyAlignment="1" applyProtection="1">
      <alignment/>
      <protection hidden="1"/>
    </xf>
    <xf numFmtId="0" fontId="2" fillId="0" borderId="0" xfId="263" applyAlignment="1" applyProtection="1">
      <alignment/>
      <protection/>
    </xf>
    <xf numFmtId="0" fontId="28" fillId="0" borderId="0" xfId="258" applyNumberFormat="1" applyFont="1" applyFill="1" applyAlignment="1" applyProtection="1">
      <alignment/>
      <protection hidden="1"/>
    </xf>
    <xf numFmtId="0" fontId="29" fillId="0" borderId="0" xfId="258" applyNumberFormat="1" applyFont="1" applyFill="1" applyAlignment="1" applyProtection="1">
      <alignment/>
      <protection hidden="1"/>
    </xf>
    <xf numFmtId="0" fontId="2" fillId="0" borderId="0" xfId="263" applyFont="1" applyBorder="1" applyAlignment="1" applyProtection="1">
      <alignment/>
      <protection/>
    </xf>
    <xf numFmtId="0" fontId="28" fillId="0" borderId="0" xfId="258" applyNumberFormat="1" applyFont="1" applyAlignment="1" applyProtection="1">
      <alignment/>
      <protection hidden="1"/>
    </xf>
    <xf numFmtId="0" fontId="2" fillId="0" borderId="0" xfId="263" applyProtection="1">
      <alignment/>
      <protection/>
    </xf>
    <xf numFmtId="0" fontId="2" fillId="0" borderId="0" xfId="263" applyFill="1" applyProtection="1">
      <alignment/>
      <protection/>
    </xf>
    <xf numFmtId="14" fontId="24" fillId="0" borderId="0" xfId="251" applyNumberFormat="1" applyFont="1" applyBorder="1" applyAlignment="1" applyProtection="1">
      <alignment horizontal="center" vertical="center" textRotation="180" wrapText="1"/>
      <protection hidden="1"/>
    </xf>
    <xf numFmtId="14" fontId="24" fillId="0" borderId="0" xfId="251" applyNumberFormat="1" applyFont="1" applyBorder="1" applyAlignment="1" applyProtection="1">
      <alignment vertical="center" textRotation="180" wrapText="1"/>
      <protection hidden="1"/>
    </xf>
    <xf numFmtId="0" fontId="2" fillId="0" borderId="0" xfId="263" applyBorder="1" applyAlignment="1" applyProtection="1">
      <alignment horizontal="left" wrapText="1"/>
      <protection/>
    </xf>
    <xf numFmtId="0" fontId="22" fillId="0" borderId="0" xfId="263" applyFont="1" applyProtection="1">
      <alignment/>
      <protection/>
    </xf>
    <xf numFmtId="0" fontId="22" fillId="0" borderId="0" xfId="263" applyFont="1" applyFill="1" applyProtection="1">
      <alignment/>
      <protection/>
    </xf>
    <xf numFmtId="0" fontId="26" fillId="0" borderId="0" xfId="263" applyFont="1" applyProtection="1">
      <alignment/>
      <protection/>
    </xf>
    <xf numFmtId="0" fontId="2" fillId="0" borderId="0" xfId="263" applyFill="1" applyBorder="1" applyAlignment="1" applyProtection="1">
      <alignment horizontal="left"/>
      <protection/>
    </xf>
    <xf numFmtId="0" fontId="2" fillId="0" borderId="0" xfId="263" applyNumberFormat="1" applyBorder="1" applyAlignment="1" applyProtection="1">
      <alignment/>
      <protection/>
    </xf>
    <xf numFmtId="0" fontId="2" fillId="0" borderId="0" xfId="263" applyNumberFormat="1" applyAlignment="1" applyProtection="1">
      <alignment/>
      <protection/>
    </xf>
    <xf numFmtId="0" fontId="24" fillId="0" borderId="0" xfId="251" applyNumberFormat="1" applyFont="1" applyBorder="1" applyAlignment="1" applyProtection="1">
      <alignment horizontal="center" vertical="center" wrapText="1"/>
      <protection hidden="1"/>
    </xf>
    <xf numFmtId="0" fontId="22" fillId="0" borderId="0" xfId="263" applyNumberFormat="1" applyFont="1" applyAlignment="1" applyProtection="1">
      <alignment/>
      <protection/>
    </xf>
    <xf numFmtId="0" fontId="2" fillId="0" borderId="0" xfId="263" applyNumberFormat="1" applyFill="1" applyAlignment="1" applyProtection="1">
      <alignment/>
      <protection/>
    </xf>
    <xf numFmtId="14" fontId="24" fillId="0" borderId="0" xfId="251" applyNumberFormat="1" applyFont="1" applyBorder="1" applyAlignment="1" applyProtection="1">
      <alignment vertical="center" wrapText="1"/>
      <protection hidden="1"/>
    </xf>
    <xf numFmtId="0" fontId="2" fillId="0" borderId="0" xfId="263" applyBorder="1" applyProtection="1">
      <alignment/>
      <protection/>
    </xf>
    <xf numFmtId="0" fontId="22" fillId="0" borderId="0" xfId="263" applyFont="1" applyBorder="1" applyProtection="1">
      <alignment/>
      <protection/>
    </xf>
    <xf numFmtId="0" fontId="22" fillId="0" borderId="0" xfId="263" applyNumberFormat="1" applyFont="1" applyBorder="1" applyAlignment="1" applyProtection="1">
      <alignment/>
      <protection/>
    </xf>
    <xf numFmtId="0" fontId="23" fillId="0" borderId="0" xfId="262" applyFont="1" applyBorder="1" applyAlignment="1" applyProtection="1">
      <alignment horizontal="center" vertical="center"/>
      <protection/>
    </xf>
    <xf numFmtId="0" fontId="24" fillId="0" borderId="14" xfId="251" applyNumberFormat="1" applyFont="1" applyBorder="1" applyAlignment="1" applyProtection="1">
      <alignment horizontal="center" vertical="center" wrapText="1"/>
      <protection hidden="1"/>
    </xf>
    <xf numFmtId="14" fontId="24" fillId="0" borderId="14" xfId="251" applyNumberFormat="1" applyFont="1" applyBorder="1" applyAlignment="1" applyProtection="1">
      <alignment horizontal="center" vertical="center" wrapText="1"/>
      <protection hidden="1"/>
    </xf>
    <xf numFmtId="10" fontId="0" fillId="0" borderId="0" xfId="0" applyNumberForma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5" fillId="0" borderId="15" xfId="251" applyNumberFormat="1" applyFont="1" applyBorder="1" applyAlignment="1" applyProtection="1">
      <alignment horizontal="center" vertical="center" wrapText="1"/>
      <protection hidden="1"/>
    </xf>
    <xf numFmtId="14" fontId="25" fillId="0" borderId="16" xfId="251" applyNumberFormat="1" applyFont="1" applyBorder="1" applyAlignment="1" applyProtection="1">
      <alignment vertical="center" wrapText="1"/>
      <protection hidden="1"/>
    </xf>
    <xf numFmtId="10" fontId="2" fillId="0" borderId="16" xfId="263" applyNumberFormat="1" applyFill="1" applyBorder="1" applyAlignment="1" applyProtection="1">
      <alignment horizontal="center" wrapText="1"/>
      <protection locked="0"/>
    </xf>
    <xf numFmtId="0" fontId="2" fillId="0" borderId="16" xfId="263" applyBorder="1" applyAlignment="1" applyProtection="1">
      <alignment horizontal="center" wrapText="1"/>
      <protection/>
    </xf>
    <xf numFmtId="0" fontId="25" fillId="0" borderId="17" xfId="251" applyNumberFormat="1" applyFont="1" applyBorder="1" applyAlignment="1" applyProtection="1">
      <alignment horizontal="center" vertical="center" wrapText="1"/>
      <protection hidden="1"/>
    </xf>
    <xf numFmtId="14" fontId="25" fillId="0" borderId="18" xfId="251" applyNumberFormat="1" applyFont="1" applyBorder="1" applyAlignment="1" applyProtection="1">
      <alignment vertical="center" wrapText="1"/>
      <protection hidden="1"/>
    </xf>
    <xf numFmtId="10" fontId="2" fillId="0" borderId="18" xfId="263" applyNumberFormat="1" applyFill="1" applyBorder="1" applyAlignment="1" applyProtection="1">
      <alignment horizontal="center" wrapText="1"/>
      <protection locked="0"/>
    </xf>
    <xf numFmtId="0" fontId="2" fillId="0" borderId="18" xfId="263" applyBorder="1" applyAlignment="1" applyProtection="1">
      <alignment horizontal="center" wrapText="1"/>
      <protection/>
    </xf>
    <xf numFmtId="10" fontId="2" fillId="0" borderId="18" xfId="263" applyNumberFormat="1" applyBorder="1" applyAlignment="1" applyProtection="1">
      <alignment horizontal="center" wrapText="1"/>
      <protection/>
    </xf>
    <xf numFmtId="0" fontId="22" fillId="0" borderId="0" xfId="255" applyFont="1" applyAlignment="1" applyProtection="1">
      <alignment horizontal="right" vertical="center"/>
      <protection/>
    </xf>
    <xf numFmtId="0" fontId="2" fillId="0" borderId="19" xfId="263" applyBorder="1" applyProtection="1">
      <alignment/>
      <protection/>
    </xf>
    <xf numFmtId="2" fontId="27" fillId="47" borderId="20" xfId="264" applyNumberFormat="1" applyFont="1" applyFill="1" applyBorder="1" applyAlignment="1" applyProtection="1">
      <alignment horizontal="left"/>
      <protection locked="0"/>
    </xf>
    <xf numFmtId="10" fontId="36" fillId="51" borderId="21" xfId="0" applyNumberFormat="1" applyFont="1" applyFill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25" fillId="0" borderId="16" xfId="263" applyFont="1" applyBorder="1" applyAlignment="1" applyProtection="1">
      <alignment horizontal="center" wrapText="1"/>
      <protection/>
    </xf>
    <xf numFmtId="0" fontId="25" fillId="0" borderId="18" xfId="263" applyFont="1" applyBorder="1" applyAlignment="1" applyProtection="1">
      <alignment horizontal="center" wrapText="1"/>
      <protection/>
    </xf>
    <xf numFmtId="10" fontId="36" fillId="51" borderId="24" xfId="0" applyNumberFormat="1" applyFont="1" applyFill="1" applyBorder="1" applyAlignment="1" applyProtection="1">
      <alignment horizontal="center" wrapText="1"/>
      <protection/>
    </xf>
    <xf numFmtId="10" fontId="2" fillId="0" borderId="0" xfId="263" applyNumberFormat="1" applyBorder="1" applyProtection="1">
      <alignment/>
      <protection/>
    </xf>
    <xf numFmtId="0" fontId="2" fillId="0" borderId="0" xfId="263" applyFont="1" applyProtection="1">
      <alignment/>
      <protection/>
    </xf>
    <xf numFmtId="10" fontId="2" fillId="0" borderId="0" xfId="263" applyNumberFormat="1" applyProtection="1">
      <alignment/>
      <protection/>
    </xf>
    <xf numFmtId="0" fontId="2" fillId="0" borderId="0" xfId="263" applyFont="1" applyBorder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4" fontId="24" fillId="0" borderId="26" xfId="251" applyNumberFormat="1" applyFont="1" applyBorder="1" applyAlignment="1" applyProtection="1">
      <alignment vertical="center" wrapText="1"/>
      <protection hidden="1"/>
    </xf>
    <xf numFmtId="0" fontId="2" fillId="0" borderId="0" xfId="263" applyFont="1" applyAlignment="1" applyProtection="1">
      <alignment horizontal="left"/>
      <protection/>
    </xf>
    <xf numFmtId="0" fontId="38" fillId="0" borderId="0" xfId="263" applyFont="1" applyAlignment="1" applyProtection="1">
      <alignment horizontal="right"/>
      <protection/>
    </xf>
    <xf numFmtId="0" fontId="25" fillId="0" borderId="27" xfId="251" applyNumberFormat="1" applyFont="1" applyBorder="1" applyAlignment="1" applyProtection="1">
      <alignment horizontal="center" vertical="center" wrapText="1"/>
      <protection hidden="1"/>
    </xf>
    <xf numFmtId="14" fontId="25" fillId="0" borderId="28" xfId="251" applyNumberFormat="1" applyFont="1" applyBorder="1" applyAlignment="1" applyProtection="1">
      <alignment vertical="center" wrapText="1"/>
      <protection hidden="1"/>
    </xf>
    <xf numFmtId="0" fontId="25" fillId="0" borderId="28" xfId="263" applyFont="1" applyBorder="1" applyAlignment="1" applyProtection="1">
      <alignment horizontal="center" wrapText="1"/>
      <protection/>
    </xf>
    <xf numFmtId="10" fontId="36" fillId="51" borderId="29" xfId="0" applyNumberFormat="1" applyFont="1" applyFill="1" applyBorder="1" applyAlignment="1" applyProtection="1">
      <alignment horizontal="center" wrapText="1"/>
      <protection/>
    </xf>
    <xf numFmtId="0" fontId="2" fillId="0" borderId="0" xfId="263" applyFont="1" applyBorder="1" applyAlignment="1" applyProtection="1">
      <alignment horizontal="left"/>
      <protection/>
    </xf>
    <xf numFmtId="10" fontId="2" fillId="0" borderId="0" xfId="263" applyNumberFormat="1" applyFont="1" applyBorder="1" applyAlignment="1" applyProtection="1">
      <alignment horizontal="left"/>
      <protection/>
    </xf>
    <xf numFmtId="2" fontId="2" fillId="0" borderId="0" xfId="263" applyNumberFormat="1" applyFont="1" applyBorder="1" applyAlignment="1" applyProtection="1">
      <alignment horizontal="left"/>
      <protection/>
    </xf>
    <xf numFmtId="0" fontId="2" fillId="0" borderId="0" xfId="263" applyAlignment="1" applyProtection="1">
      <alignment horizontal="left"/>
      <protection/>
    </xf>
    <xf numFmtId="0" fontId="2" fillId="0" borderId="30" xfId="263" applyBorder="1" applyAlignment="1" applyProtection="1">
      <alignment horizontal="left"/>
      <protection/>
    </xf>
    <xf numFmtId="0" fontId="22" fillId="0" borderId="30" xfId="263" applyFont="1" applyBorder="1" applyAlignment="1" applyProtection="1">
      <alignment horizontal="left"/>
      <protection/>
    </xf>
    <xf numFmtId="0" fontId="2" fillId="0" borderId="0" xfId="263" applyBorder="1" applyAlignment="1" applyProtection="1">
      <alignment horizontal="left"/>
      <protection/>
    </xf>
    <xf numFmtId="0" fontId="2" fillId="0" borderId="30" xfId="263" applyFont="1" applyBorder="1" applyAlignment="1" applyProtection="1">
      <alignment horizontal="left"/>
      <protection/>
    </xf>
    <xf numFmtId="10" fontId="2" fillId="0" borderId="28" xfId="263" applyNumberFormat="1" applyFont="1" applyBorder="1" applyAlignment="1" applyProtection="1">
      <alignment horizontal="center" wrapText="1"/>
      <protection/>
    </xf>
    <xf numFmtId="0" fontId="22" fillId="0" borderId="0" xfId="263" applyFont="1" applyAlignment="1" applyProtection="1">
      <alignment horizontal="left"/>
      <protection/>
    </xf>
    <xf numFmtId="0" fontId="25" fillId="0" borderId="0" xfId="263" applyFont="1" applyFill="1" applyAlignment="1" applyProtection="1">
      <alignment/>
      <protection/>
    </xf>
    <xf numFmtId="0" fontId="2" fillId="0" borderId="31" xfId="263" applyBorder="1" applyProtection="1">
      <alignment/>
      <protection/>
    </xf>
    <xf numFmtId="0" fontId="2" fillId="47" borderId="25" xfId="263" applyFont="1" applyFill="1" applyBorder="1" applyAlignment="1" applyProtection="1">
      <alignment/>
      <protection locked="0"/>
    </xf>
    <xf numFmtId="0" fontId="42" fillId="0" borderId="32" xfId="263" applyFont="1" applyBorder="1" applyAlignment="1" applyProtection="1">
      <alignment vertical="center" wrapText="1"/>
      <protection/>
    </xf>
    <xf numFmtId="0" fontId="42" fillId="0" borderId="0" xfId="263" applyFont="1" applyAlignment="1" applyProtection="1">
      <alignment vertical="center" wrapText="1"/>
      <protection/>
    </xf>
    <xf numFmtId="0" fontId="22" fillId="47" borderId="33" xfId="255" applyNumberFormat="1" applyFont="1" applyFill="1" applyBorder="1" applyAlignment="1" applyProtection="1">
      <alignment vertical="center"/>
      <protection locked="0"/>
    </xf>
    <xf numFmtId="0" fontId="22" fillId="47" borderId="34" xfId="255" applyNumberFormat="1" applyFont="1" applyFill="1" applyBorder="1" applyAlignment="1" applyProtection="1">
      <alignment vertical="center"/>
      <protection locked="0"/>
    </xf>
    <xf numFmtId="0" fontId="26" fillId="0" borderId="0" xfId="255" applyFont="1" applyBorder="1" applyAlignment="1" applyProtection="1">
      <alignment horizontal="left" vertical="center"/>
      <protection/>
    </xf>
    <xf numFmtId="0" fontId="26" fillId="0" borderId="0" xfId="255" applyFont="1" applyBorder="1" applyAlignment="1" applyProtection="1">
      <alignment horizontal="center" vertical="center"/>
      <protection/>
    </xf>
    <xf numFmtId="0" fontId="2" fillId="0" borderId="0" xfId="263" applyFill="1" applyBorder="1" applyProtection="1">
      <alignment/>
      <protection/>
    </xf>
    <xf numFmtId="0" fontId="2" fillId="0" borderId="35" xfId="263" applyFill="1" applyBorder="1" applyProtection="1">
      <alignment/>
      <protection/>
    </xf>
    <xf numFmtId="0" fontId="2" fillId="0" borderId="36" xfId="263" applyFill="1" applyBorder="1" applyProtection="1">
      <alignment/>
      <protection/>
    </xf>
    <xf numFmtId="0" fontId="2" fillId="0" borderId="36" xfId="263" applyBorder="1" applyProtection="1">
      <alignment/>
      <protection/>
    </xf>
    <xf numFmtId="0" fontId="2" fillId="0" borderId="35" xfId="263" applyBorder="1" applyProtection="1">
      <alignment/>
      <protection/>
    </xf>
    <xf numFmtId="0" fontId="2" fillId="0" borderId="37" xfId="263" applyBorder="1" applyProtection="1">
      <alignment/>
      <protection/>
    </xf>
    <xf numFmtId="0" fontId="24" fillId="0" borderId="0" xfId="263" applyNumberFormat="1" applyFont="1" applyFill="1" applyBorder="1" applyAlignment="1" applyProtection="1">
      <alignment horizontal="left" wrapText="1"/>
      <protection/>
    </xf>
    <xf numFmtId="0" fontId="2" fillId="0" borderId="36" xfId="263" applyFont="1" applyBorder="1" applyAlignment="1" applyProtection="1">
      <alignment horizontal="right"/>
      <protection/>
    </xf>
    <xf numFmtId="0" fontId="2" fillId="0" borderId="0" xfId="263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255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45" fillId="0" borderId="36" xfId="0" applyFont="1" applyFill="1" applyBorder="1" applyAlignment="1" applyProtection="1">
      <alignment horizontal="right"/>
      <protection/>
    </xf>
    <xf numFmtId="0" fontId="45" fillId="0" borderId="38" xfId="0" applyNumberFormat="1" applyFont="1" applyFill="1" applyBorder="1" applyAlignment="1" applyProtection="1">
      <alignment horizontal="right"/>
      <protection/>
    </xf>
    <xf numFmtId="14" fontId="24" fillId="0" borderId="0" xfId="251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263" applyFont="1" applyFill="1" applyProtection="1">
      <alignment/>
      <protection/>
    </xf>
    <xf numFmtId="0" fontId="41" fillId="0" borderId="0" xfId="263" applyFont="1" applyFill="1" applyAlignment="1" applyProtection="1">
      <alignment horizontal="left"/>
      <protection locked="0"/>
    </xf>
    <xf numFmtId="0" fontId="2" fillId="0" borderId="39" xfId="263" applyFill="1" applyBorder="1" applyProtection="1">
      <alignment/>
      <protection locked="0"/>
    </xf>
    <xf numFmtId="0" fontId="2" fillId="0" borderId="40" xfId="263" applyBorder="1" applyAlignment="1" applyProtection="1">
      <alignment horizontal="center" wrapText="1"/>
      <protection/>
    </xf>
    <xf numFmtId="0" fontId="25" fillId="0" borderId="41" xfId="251" applyNumberFormat="1" applyFont="1" applyBorder="1" applyAlignment="1" applyProtection="1">
      <alignment horizontal="center" vertical="center" wrapText="1"/>
      <protection hidden="1"/>
    </xf>
    <xf numFmtId="14" fontId="25" fillId="0" borderId="41" xfId="251" applyNumberFormat="1" applyFont="1" applyBorder="1" applyAlignment="1" applyProtection="1">
      <alignment vertical="center" wrapText="1"/>
      <protection hidden="1"/>
    </xf>
    <xf numFmtId="0" fontId="25" fillId="0" borderId="42" xfId="263" applyFont="1" applyBorder="1" applyAlignment="1" applyProtection="1">
      <alignment horizontal="center" wrapText="1"/>
      <protection/>
    </xf>
    <xf numFmtId="10" fontId="2" fillId="52" borderId="43" xfId="263" applyNumberFormat="1" applyFill="1" applyBorder="1" applyAlignment="1" applyProtection="1">
      <alignment horizontal="center" wrapText="1"/>
      <protection/>
    </xf>
    <xf numFmtId="10" fontId="2" fillId="0" borderId="44" xfId="263" applyNumberFormat="1" applyFill="1" applyBorder="1" applyAlignment="1" applyProtection="1">
      <alignment horizontal="center" wrapText="1"/>
      <protection locked="0"/>
    </xf>
    <xf numFmtId="10" fontId="2" fillId="0" borderId="45" xfId="263" applyNumberFormat="1" applyFill="1" applyBorder="1" applyAlignment="1" applyProtection="1">
      <alignment horizontal="center" wrapText="1"/>
      <protection locked="0"/>
    </xf>
    <xf numFmtId="0" fontId="2" fillId="35" borderId="0" xfId="263" applyFill="1" applyAlignment="1" applyProtection="1">
      <alignment/>
      <protection/>
    </xf>
    <xf numFmtId="0" fontId="2" fillId="35" borderId="0" xfId="263" applyFill="1" applyProtection="1">
      <alignment/>
      <protection/>
    </xf>
    <xf numFmtId="0" fontId="41" fillId="35" borderId="0" xfId="263" applyFont="1" applyFill="1" applyProtection="1">
      <alignment/>
      <protection/>
    </xf>
    <xf numFmtId="0" fontId="2" fillId="35" borderId="0" xfId="263" applyFill="1" applyBorder="1" applyProtection="1">
      <alignment/>
      <protection/>
    </xf>
    <xf numFmtId="0" fontId="22" fillId="35" borderId="0" xfId="263" applyFont="1" applyFill="1" applyBorder="1" applyProtection="1">
      <alignment/>
      <protection/>
    </xf>
    <xf numFmtId="0" fontId="22" fillId="35" borderId="0" xfId="263" applyFont="1" applyFill="1" applyProtection="1">
      <alignment/>
      <protection/>
    </xf>
    <xf numFmtId="0" fontId="2" fillId="35" borderId="0" xfId="263" applyNumberFormat="1" applyFill="1" applyAlignment="1" applyProtection="1">
      <alignment/>
      <protection/>
    </xf>
    <xf numFmtId="10" fontId="2" fillId="0" borderId="0" xfId="263" applyNumberFormat="1" applyFill="1" applyBorder="1" applyAlignment="1" applyProtection="1">
      <alignment horizontal="center" wrapText="1"/>
      <protection/>
    </xf>
    <xf numFmtId="14" fontId="24" fillId="0" borderId="46" xfId="251" applyNumberFormat="1" applyFont="1" applyBorder="1" applyAlignment="1" applyProtection="1">
      <alignment horizontal="center" vertical="center" wrapText="1"/>
      <protection hidden="1"/>
    </xf>
    <xf numFmtId="0" fontId="23" fillId="0" borderId="0" xfId="263" applyFont="1" applyProtection="1">
      <alignment/>
      <protection/>
    </xf>
    <xf numFmtId="0" fontId="23" fillId="0" borderId="0" xfId="263" applyFont="1" applyFill="1" applyProtection="1">
      <alignment/>
      <protection/>
    </xf>
    <xf numFmtId="0" fontId="2" fillId="0" borderId="33" xfId="263" applyFill="1" applyBorder="1" applyAlignment="1" applyProtection="1">
      <alignment horizontal="center"/>
      <protection locked="0"/>
    </xf>
    <xf numFmtId="0" fontId="2" fillId="0" borderId="47" xfId="263" applyFill="1" applyBorder="1" applyAlignment="1" applyProtection="1">
      <alignment horizontal="center"/>
      <protection locked="0"/>
    </xf>
    <xf numFmtId="0" fontId="26" fillId="0" borderId="48" xfId="263" applyFont="1" applyBorder="1" applyAlignment="1" applyProtection="1">
      <alignment horizontal="center"/>
      <protection/>
    </xf>
    <xf numFmtId="0" fontId="24" fillId="51" borderId="49" xfId="263" applyNumberFormat="1" applyFont="1" applyFill="1" applyBorder="1" applyAlignment="1" applyProtection="1">
      <alignment horizontal="left" wrapText="1"/>
      <protection/>
    </xf>
    <xf numFmtId="0" fontId="24" fillId="51" borderId="32" xfId="263" applyNumberFormat="1" applyFont="1" applyFill="1" applyBorder="1" applyAlignment="1" applyProtection="1">
      <alignment horizontal="left" wrapText="1"/>
      <protection/>
    </xf>
    <xf numFmtId="0" fontId="24" fillId="51" borderId="50" xfId="263" applyNumberFormat="1" applyFont="1" applyFill="1" applyBorder="1" applyAlignment="1" applyProtection="1">
      <alignment horizontal="left" wrapText="1"/>
      <protection/>
    </xf>
    <xf numFmtId="0" fontId="24" fillId="51" borderId="51" xfId="263" applyNumberFormat="1" applyFont="1" applyFill="1" applyBorder="1" applyAlignment="1" applyProtection="1">
      <alignment horizontal="left" wrapText="1"/>
      <protection/>
    </xf>
    <xf numFmtId="0" fontId="24" fillId="51" borderId="52" xfId="263" applyNumberFormat="1" applyFont="1" applyFill="1" applyBorder="1" applyAlignment="1" applyProtection="1">
      <alignment horizontal="left" wrapText="1"/>
      <protection/>
    </xf>
    <xf numFmtId="0" fontId="24" fillId="51" borderId="53" xfId="263" applyNumberFormat="1" applyFont="1" applyFill="1" applyBorder="1" applyAlignment="1" applyProtection="1">
      <alignment horizontal="left" wrapText="1"/>
      <protection/>
    </xf>
    <xf numFmtId="0" fontId="2" fillId="0" borderId="32" xfId="251" applyFont="1" applyBorder="1" applyAlignment="1" applyProtection="1">
      <alignment horizontal="center"/>
      <protection/>
    </xf>
    <xf numFmtId="14" fontId="2" fillId="47" borderId="52" xfId="339" applyNumberFormat="1" applyFont="1" applyFill="1" applyBorder="1" applyAlignment="1" applyProtection="1">
      <alignment horizontal="center"/>
      <protection locked="0"/>
    </xf>
    <xf numFmtId="0" fontId="44" fillId="31" borderId="54" xfId="263" applyFont="1" applyFill="1" applyBorder="1" applyAlignment="1" applyProtection="1">
      <alignment horizontal="center"/>
      <protection/>
    </xf>
    <xf numFmtId="0" fontId="44" fillId="31" borderId="55" xfId="263" applyFont="1" applyFill="1" applyBorder="1" applyAlignment="1" applyProtection="1">
      <alignment horizontal="center"/>
      <protection/>
    </xf>
    <xf numFmtId="0" fontId="44" fillId="31" borderId="56" xfId="263" applyFont="1" applyFill="1" applyBorder="1" applyAlignment="1" applyProtection="1">
      <alignment horizontal="center"/>
      <protection/>
    </xf>
    <xf numFmtId="0" fontId="22" fillId="0" borderId="57" xfId="263" applyNumberFormat="1" applyFont="1" applyFill="1" applyBorder="1" applyAlignment="1" applyProtection="1">
      <alignment horizontal="left" vertical="center" wrapText="1"/>
      <protection/>
    </xf>
    <xf numFmtId="0" fontId="22" fillId="0" borderId="58" xfId="263" applyNumberFormat="1" applyFont="1" applyFill="1" applyBorder="1" applyAlignment="1" applyProtection="1">
      <alignment horizontal="left" vertical="center" wrapText="1"/>
      <protection/>
    </xf>
    <xf numFmtId="0" fontId="22" fillId="0" borderId="59" xfId="263" applyNumberFormat="1" applyFont="1" applyFill="1" applyBorder="1" applyAlignment="1" applyProtection="1">
      <alignment horizontal="left" vertical="center" wrapText="1"/>
      <protection/>
    </xf>
    <xf numFmtId="0" fontId="22" fillId="0" borderId="36" xfId="263" applyNumberFormat="1" applyFont="1" applyFill="1" applyBorder="1" applyAlignment="1" applyProtection="1">
      <alignment horizontal="left" vertical="center" wrapText="1"/>
      <protection/>
    </xf>
    <xf numFmtId="0" fontId="22" fillId="0" borderId="0" xfId="263" applyNumberFormat="1" applyFont="1" applyFill="1" applyBorder="1" applyAlignment="1" applyProtection="1">
      <alignment horizontal="left" vertical="center" wrapText="1"/>
      <protection/>
    </xf>
    <xf numFmtId="0" fontId="22" fillId="0" borderId="35" xfId="263" applyNumberFormat="1" applyFont="1" applyFill="1" applyBorder="1" applyAlignment="1" applyProtection="1">
      <alignment horizontal="left" vertical="center" wrapText="1"/>
      <protection/>
    </xf>
    <xf numFmtId="0" fontId="2" fillId="0" borderId="25" xfId="263" applyFill="1" applyBorder="1" applyAlignment="1" applyProtection="1">
      <alignment horizontal="center"/>
      <protection locked="0"/>
    </xf>
    <xf numFmtId="0" fontId="37" fillId="0" borderId="0" xfId="263" applyFont="1" applyFill="1" applyAlignment="1" applyProtection="1">
      <alignment horizontal="left" vertical="center" wrapText="1"/>
      <protection/>
    </xf>
    <xf numFmtId="0" fontId="39" fillId="0" borderId="0" xfId="0" applyFont="1" applyAlignment="1">
      <alignment horizontal="left" vertical="center" wrapText="1"/>
    </xf>
    <xf numFmtId="0" fontId="23" fillId="4" borderId="51" xfId="263" applyNumberFormat="1" applyFont="1" applyFill="1" applyBorder="1" applyAlignment="1" applyProtection="1">
      <alignment horizontal="center"/>
      <protection/>
    </xf>
    <xf numFmtId="0" fontId="23" fillId="4" borderId="53" xfId="263" applyNumberFormat="1" applyFont="1" applyFill="1" applyBorder="1" applyAlignment="1" applyProtection="1">
      <alignment horizontal="center"/>
      <protection/>
    </xf>
    <xf numFmtId="0" fontId="42" fillId="0" borderId="0" xfId="263" applyFont="1" applyAlignment="1" applyProtection="1">
      <alignment horizontal="center" vertical="center" wrapText="1"/>
      <protection/>
    </xf>
    <xf numFmtId="14" fontId="43" fillId="0" borderId="0" xfId="251" applyNumberFormat="1" applyFont="1" applyFill="1" applyBorder="1" applyAlignment="1" applyProtection="1">
      <alignment horizontal="center" vertical="center" wrapText="1"/>
      <protection hidden="1"/>
    </xf>
    <xf numFmtId="14" fontId="24" fillId="0" borderId="60" xfId="251" applyNumberFormat="1" applyFont="1" applyBorder="1" applyAlignment="1" applyProtection="1">
      <alignment horizontal="center" vertical="center" wrapText="1"/>
      <protection hidden="1"/>
    </xf>
    <xf numFmtId="14" fontId="24" fillId="0" borderId="61" xfId="251" applyNumberFormat="1" applyFont="1" applyBorder="1" applyAlignment="1" applyProtection="1">
      <alignment horizontal="center" vertical="center" wrapText="1"/>
      <protection hidden="1"/>
    </xf>
    <xf numFmtId="14" fontId="24" fillId="0" borderId="62" xfId="251" applyNumberFormat="1" applyFont="1" applyBorder="1" applyAlignment="1" applyProtection="1">
      <alignment horizontal="center" vertical="center" wrapText="1"/>
      <protection hidden="1"/>
    </xf>
    <xf numFmtId="14" fontId="24" fillId="0" borderId="63" xfId="251" applyNumberFormat="1" applyFont="1" applyBorder="1" applyAlignment="1" applyProtection="1">
      <alignment horizontal="center" vertical="center" wrapText="1"/>
      <protection hidden="1"/>
    </xf>
    <xf numFmtId="14" fontId="24" fillId="0" borderId="0" xfId="251" applyNumberFormat="1" applyFont="1" applyBorder="1" applyAlignment="1" applyProtection="1">
      <alignment horizontal="center" vertical="center" textRotation="180" wrapText="1"/>
      <protection hidden="1"/>
    </xf>
    <xf numFmtId="2" fontId="27" fillId="47" borderId="23" xfId="264" applyNumberFormat="1" applyFont="1" applyFill="1" applyBorder="1" applyAlignment="1" applyProtection="1">
      <alignment horizontal="left"/>
      <protection locked="0"/>
    </xf>
    <xf numFmtId="0" fontId="0" fillId="47" borderId="25" xfId="0" applyFill="1" applyBorder="1" applyAlignment="1" applyProtection="1">
      <alignment/>
      <protection locked="0"/>
    </xf>
    <xf numFmtId="0" fontId="0" fillId="47" borderId="26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2" fontId="2" fillId="0" borderId="32" xfId="262" applyNumberFormat="1" applyFont="1" applyFill="1" applyBorder="1" applyAlignment="1" applyProtection="1">
      <alignment horizontal="center" vertical="center" wrapText="1"/>
      <protection/>
    </xf>
    <xf numFmtId="0" fontId="47" fillId="0" borderId="32" xfId="0" applyFont="1" applyBorder="1" applyAlignment="1" applyProtection="1">
      <alignment wrapText="1"/>
      <protection/>
    </xf>
    <xf numFmtId="0" fontId="47" fillId="0" borderId="50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 wrapText="1"/>
      <protection/>
    </xf>
    <xf numFmtId="0" fontId="47" fillId="0" borderId="64" xfId="0" applyFont="1" applyBorder="1" applyAlignment="1" applyProtection="1">
      <alignment wrapText="1"/>
      <protection/>
    </xf>
    <xf numFmtId="0" fontId="47" fillId="0" borderId="51" xfId="0" applyFont="1" applyBorder="1" applyAlignment="1" applyProtection="1">
      <alignment wrapText="1"/>
      <protection/>
    </xf>
    <xf numFmtId="0" fontId="47" fillId="0" borderId="52" xfId="0" applyFont="1" applyBorder="1" applyAlignment="1" applyProtection="1">
      <alignment wrapText="1"/>
      <protection/>
    </xf>
    <xf numFmtId="0" fontId="47" fillId="0" borderId="53" xfId="0" applyFont="1" applyBorder="1" applyAlignment="1" applyProtection="1">
      <alignment wrapText="1"/>
      <protection/>
    </xf>
    <xf numFmtId="0" fontId="23" fillId="0" borderId="65" xfId="262" applyFont="1" applyBorder="1" applyAlignment="1" applyProtection="1">
      <alignment horizontal="left" vertical="center" wrapText="1"/>
      <protection/>
    </xf>
    <xf numFmtId="0" fontId="23" fillId="0" borderId="34" xfId="262" applyFont="1" applyBorder="1" applyAlignment="1" applyProtection="1">
      <alignment horizontal="left" vertical="center" wrapText="1"/>
      <protection/>
    </xf>
    <xf numFmtId="0" fontId="23" fillId="0" borderId="27" xfId="262" applyFont="1" applyBorder="1" applyAlignment="1" applyProtection="1">
      <alignment horizontal="left" vertical="center" wrapText="1"/>
      <protection/>
    </xf>
    <xf numFmtId="0" fontId="23" fillId="0" borderId="23" xfId="263" applyFont="1" applyBorder="1" applyAlignment="1" applyProtection="1">
      <alignment horizontal="center" wrapText="1"/>
      <protection/>
    </xf>
    <xf numFmtId="0" fontId="39" fillId="0" borderId="25" xfId="0" applyFont="1" applyBorder="1" applyAlignment="1" applyProtection="1">
      <alignment horizontal="center" wrapText="1"/>
      <protection/>
    </xf>
    <xf numFmtId="0" fontId="39" fillId="0" borderId="66" xfId="0" applyFont="1" applyBorder="1" applyAlignment="1" applyProtection="1">
      <alignment horizontal="center" wrapText="1"/>
      <protection/>
    </xf>
    <xf numFmtId="0" fontId="37" fillId="0" borderId="67" xfId="251" applyNumberFormat="1" applyFont="1" applyBorder="1" applyAlignment="1" applyProtection="1">
      <alignment horizontal="center" vertical="center" wrapText="1"/>
      <protection hidden="1"/>
    </xf>
    <xf numFmtId="0" fontId="37" fillId="0" borderId="68" xfId="251" applyNumberFormat="1" applyFont="1" applyBorder="1" applyAlignment="1" applyProtection="1">
      <alignment horizontal="center" vertical="center" wrapText="1"/>
      <protection hidden="1"/>
    </xf>
    <xf numFmtId="0" fontId="37" fillId="0" borderId="69" xfId="251" applyNumberFormat="1" applyFont="1" applyBorder="1" applyAlignment="1" applyProtection="1">
      <alignment horizontal="center" vertical="center" wrapText="1"/>
      <protection hidden="1"/>
    </xf>
    <xf numFmtId="2" fontId="32" fillId="0" borderId="70" xfId="262" applyNumberFormat="1" applyFont="1" applyFill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10" fontId="32" fillId="0" borderId="70" xfId="274" applyNumberFormat="1" applyFont="1" applyFill="1" applyBorder="1" applyAlignment="1" applyProtection="1">
      <alignment horizontal="center" vertical="center"/>
      <protection/>
    </xf>
    <xf numFmtId="0" fontId="40" fillId="53" borderId="67" xfId="0" applyFont="1" applyFill="1" applyBorder="1" applyAlignment="1" applyProtection="1">
      <alignment horizontal="center" vertical="center" wrapText="1"/>
      <protection/>
    </xf>
    <xf numFmtId="0" fontId="40" fillId="53" borderId="68" xfId="0" applyFont="1" applyFill="1" applyBorder="1" applyAlignment="1" applyProtection="1">
      <alignment horizontal="center" vertical="center" wrapText="1"/>
      <protection/>
    </xf>
    <xf numFmtId="0" fontId="40" fillId="53" borderId="69" xfId="0" applyFont="1" applyFill="1" applyBorder="1" applyAlignment="1" applyProtection="1">
      <alignment horizontal="center" vertical="center" wrapText="1"/>
      <protection/>
    </xf>
  </cellXfs>
  <cellStyles count="3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 1" xfId="21"/>
    <cellStyle name="20% - Ênfase1 2" xfId="22"/>
    <cellStyle name="20% - Ênfase1 3" xfId="23"/>
    <cellStyle name="20% - Ênfase1 4" xfId="24"/>
    <cellStyle name="20% - Ênfase1 5" xfId="25"/>
    <cellStyle name="20% - Ênfase1 6" xfId="26"/>
    <cellStyle name="20% - Ênfase2 1" xfId="27"/>
    <cellStyle name="20% - Ênfase2 2" xfId="28"/>
    <cellStyle name="20% - Ênfase2 3" xfId="29"/>
    <cellStyle name="20% - Ênfase2 4" xfId="30"/>
    <cellStyle name="20% - Ênfase2 5" xfId="31"/>
    <cellStyle name="20% - Ênfase2 6" xfId="32"/>
    <cellStyle name="20% - Ênfase3 1" xfId="33"/>
    <cellStyle name="20% - Ênfase3 2" xfId="34"/>
    <cellStyle name="20% - Ênfase3 3" xfId="35"/>
    <cellStyle name="20% - Ênfase3 4" xfId="36"/>
    <cellStyle name="20% - Ênfase3 5" xfId="37"/>
    <cellStyle name="20% - Ênfase3 6" xfId="38"/>
    <cellStyle name="20% - Ênfase4 1" xfId="39"/>
    <cellStyle name="20% - Ênfase4 2" xfId="40"/>
    <cellStyle name="20% - Ênfase4 3" xfId="41"/>
    <cellStyle name="20% - Ênfase4 4" xfId="42"/>
    <cellStyle name="20% - Ênfase4 5" xfId="43"/>
    <cellStyle name="20% - Ênfase4 6" xfId="44"/>
    <cellStyle name="20% - Ênfase5 1" xfId="45"/>
    <cellStyle name="20% - Ênfase5 2" xfId="46"/>
    <cellStyle name="20% - Ênfase5 3" xfId="47"/>
    <cellStyle name="20% - Ênfase5 4" xfId="48"/>
    <cellStyle name="20% - Ênfase5 5" xfId="49"/>
    <cellStyle name="20% - Ênfase5 6" xfId="50"/>
    <cellStyle name="20% - Ênfase6 1" xfId="51"/>
    <cellStyle name="20% - Ênfase6 2" xfId="52"/>
    <cellStyle name="20% - Ênfase6 3" xfId="53"/>
    <cellStyle name="20% - Ênfase6 4" xfId="54"/>
    <cellStyle name="20% - Ênfase6 5" xfId="55"/>
    <cellStyle name="20% - Ênfase6 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 1" xfId="63"/>
    <cellStyle name="40% - Ênfase1 2" xfId="64"/>
    <cellStyle name="40% - Ênfase1 3" xfId="65"/>
    <cellStyle name="40% - Ênfase1 4" xfId="66"/>
    <cellStyle name="40% - Ênfase1 5" xfId="67"/>
    <cellStyle name="40% - Ênfase1 6" xfId="68"/>
    <cellStyle name="40% - Ênfase2 1" xfId="69"/>
    <cellStyle name="40% - Ênfase2 2" xfId="70"/>
    <cellStyle name="40% - Ênfase2 3" xfId="71"/>
    <cellStyle name="40% - Ênfase2 4" xfId="72"/>
    <cellStyle name="40% - Ênfase2 5" xfId="73"/>
    <cellStyle name="40% - Ênfase2 6" xfId="74"/>
    <cellStyle name="40% - Ênfase3 1" xfId="75"/>
    <cellStyle name="40% - Ênfase3 2" xfId="76"/>
    <cellStyle name="40% - Ênfase3 3" xfId="77"/>
    <cellStyle name="40% - Ênfase3 4" xfId="78"/>
    <cellStyle name="40% - Ênfase3 5" xfId="79"/>
    <cellStyle name="40% - Ênfase3 6" xfId="80"/>
    <cellStyle name="40% - Ênfase4 1" xfId="81"/>
    <cellStyle name="40% - Ênfase4 2" xfId="82"/>
    <cellStyle name="40% - Ênfase4 3" xfId="83"/>
    <cellStyle name="40% - Ênfase4 4" xfId="84"/>
    <cellStyle name="40% - Ênfase4 5" xfId="85"/>
    <cellStyle name="40% - Ênfase4 6" xfId="86"/>
    <cellStyle name="40% - Ênfase5 1" xfId="87"/>
    <cellStyle name="40% - Ênfase5 2" xfId="88"/>
    <cellStyle name="40% - Ênfase5 3" xfId="89"/>
    <cellStyle name="40% - Ênfase5 4" xfId="90"/>
    <cellStyle name="40% - Ênfase5 5" xfId="91"/>
    <cellStyle name="40% - Ênfase5 6" xfId="92"/>
    <cellStyle name="40% - Ênfase6 1" xfId="93"/>
    <cellStyle name="40% - Ênfase6 2" xfId="94"/>
    <cellStyle name="40% - Ênfase6 3" xfId="95"/>
    <cellStyle name="40% - Ênfase6 4" xfId="96"/>
    <cellStyle name="40% - Ênfase6 5" xfId="97"/>
    <cellStyle name="40% - Ênfase6 6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 1" xfId="105"/>
    <cellStyle name="60% - Ênfase1 2" xfId="106"/>
    <cellStyle name="60% - Ênfase1 3" xfId="107"/>
    <cellStyle name="60% - Ênfase1 4" xfId="108"/>
    <cellStyle name="60% - Ênfase1 5" xfId="109"/>
    <cellStyle name="60% - Ênfase1 6" xfId="110"/>
    <cellStyle name="60% - Ênfase2 1" xfId="111"/>
    <cellStyle name="60% - Ênfase2 2" xfId="112"/>
    <cellStyle name="60% - Ênfase2 3" xfId="113"/>
    <cellStyle name="60% - Ênfase2 4" xfId="114"/>
    <cellStyle name="60% - Ênfase2 5" xfId="115"/>
    <cellStyle name="60% - Ênfase2 6" xfId="116"/>
    <cellStyle name="60% - Ênfase3 1" xfId="117"/>
    <cellStyle name="60% - Ênfase3 2" xfId="118"/>
    <cellStyle name="60% - Ênfase3 3" xfId="119"/>
    <cellStyle name="60% - Ênfase3 4" xfId="120"/>
    <cellStyle name="60% - Ênfase3 5" xfId="121"/>
    <cellStyle name="60% - Ênfase3 6" xfId="122"/>
    <cellStyle name="60% - Ênfase4 1" xfId="123"/>
    <cellStyle name="60% - Ênfase4 2" xfId="124"/>
    <cellStyle name="60% - Ênfase4 3" xfId="125"/>
    <cellStyle name="60% - Ênfase4 37" xfId="126"/>
    <cellStyle name="60% - Ênfase4 4" xfId="127"/>
    <cellStyle name="60% - Ênfase4 5" xfId="128"/>
    <cellStyle name="60% - Ênfase4 6" xfId="129"/>
    <cellStyle name="60% - Ênfase5 1" xfId="130"/>
    <cellStyle name="60% - Ênfase5 2" xfId="131"/>
    <cellStyle name="60% - Ênfase5 3" xfId="132"/>
    <cellStyle name="60% - Ênfase5 4" xfId="133"/>
    <cellStyle name="60% - Ênfase5 5" xfId="134"/>
    <cellStyle name="60% - Ênfase5 6" xfId="135"/>
    <cellStyle name="60% - Ênfase6 1" xfId="136"/>
    <cellStyle name="60% - Ênfase6 2" xfId="137"/>
    <cellStyle name="60% - Ênfase6 3" xfId="138"/>
    <cellStyle name="60% - Ênfase6 4" xfId="139"/>
    <cellStyle name="60% - Ênfase6 5" xfId="140"/>
    <cellStyle name="60% - Ênfase6 6" xfId="141"/>
    <cellStyle name="Accent1" xfId="142"/>
    <cellStyle name="Accent2" xfId="143"/>
    <cellStyle name="Accent3" xfId="144"/>
    <cellStyle name="Accent4" xfId="145"/>
    <cellStyle name="Accent5" xfId="146"/>
    <cellStyle name="Accent6" xfId="147"/>
    <cellStyle name="Bad" xfId="148"/>
    <cellStyle name="Bom" xfId="149"/>
    <cellStyle name="Bom 1" xfId="150"/>
    <cellStyle name="Bom 2" xfId="151"/>
    <cellStyle name="Bom 3" xfId="152"/>
    <cellStyle name="Bom 4" xfId="153"/>
    <cellStyle name="Bom 5" xfId="154"/>
    <cellStyle name="Bom 6" xfId="155"/>
    <cellStyle name="Calculation" xfId="156"/>
    <cellStyle name="Cálculo 1" xfId="157"/>
    <cellStyle name="Cálculo 2" xfId="158"/>
    <cellStyle name="Cálculo 3" xfId="159"/>
    <cellStyle name="Cálculo 4" xfId="160"/>
    <cellStyle name="Cálculo 5" xfId="161"/>
    <cellStyle name="Cálculo 6" xfId="162"/>
    <cellStyle name="Célula de Verificação" xfId="163"/>
    <cellStyle name="Célula de Verificação 1" xfId="164"/>
    <cellStyle name="Célula de Verificação 2" xfId="165"/>
    <cellStyle name="Célula de Verificação 3" xfId="166"/>
    <cellStyle name="Célula de Verificação 4" xfId="167"/>
    <cellStyle name="Célula de Verificação 5" xfId="168"/>
    <cellStyle name="Célula de Verificação 6" xfId="169"/>
    <cellStyle name="Célula Vinculada" xfId="170"/>
    <cellStyle name="Célula Vinculada 1" xfId="171"/>
    <cellStyle name="Célula Vinculada 2" xfId="172"/>
    <cellStyle name="Célula Vinculada 3" xfId="173"/>
    <cellStyle name="Célula Vinculada 4" xfId="174"/>
    <cellStyle name="Célula Vinculada 5" xfId="175"/>
    <cellStyle name="Célula Vinculada 6" xfId="176"/>
    <cellStyle name="Check Cell" xfId="177"/>
    <cellStyle name="Ênfase1 1" xfId="178"/>
    <cellStyle name="Ênfase1 2" xfId="179"/>
    <cellStyle name="Ênfase1 3" xfId="180"/>
    <cellStyle name="Ênfase1 4" xfId="181"/>
    <cellStyle name="Ênfase1 5" xfId="182"/>
    <cellStyle name="Ênfase1 6" xfId="183"/>
    <cellStyle name="Ênfase2 1" xfId="184"/>
    <cellStyle name="Ênfase2 2" xfId="185"/>
    <cellStyle name="Ênfase2 3" xfId="186"/>
    <cellStyle name="Ênfase2 4" xfId="187"/>
    <cellStyle name="Ênfase2 5" xfId="188"/>
    <cellStyle name="Ênfase2 6" xfId="189"/>
    <cellStyle name="Ênfase3 1" xfId="190"/>
    <cellStyle name="Ênfase3 2" xfId="191"/>
    <cellStyle name="Ênfase3 3" xfId="192"/>
    <cellStyle name="Ênfase3 4" xfId="193"/>
    <cellStyle name="Ênfase3 5" xfId="194"/>
    <cellStyle name="Ênfase3 6" xfId="195"/>
    <cellStyle name="Ênfase4 1" xfId="196"/>
    <cellStyle name="Ênfase4 2" xfId="197"/>
    <cellStyle name="Ênfase4 3" xfId="198"/>
    <cellStyle name="Ênfase4 4" xfId="199"/>
    <cellStyle name="Ênfase4 5" xfId="200"/>
    <cellStyle name="Ênfase4 6" xfId="201"/>
    <cellStyle name="Ênfase5 1" xfId="202"/>
    <cellStyle name="Ênfase5 2" xfId="203"/>
    <cellStyle name="Ênfase5 3" xfId="204"/>
    <cellStyle name="Ênfase5 4" xfId="205"/>
    <cellStyle name="Ênfase5 5" xfId="206"/>
    <cellStyle name="Ênfase5 6" xfId="207"/>
    <cellStyle name="Ênfase6 1" xfId="208"/>
    <cellStyle name="Ênfase6 2" xfId="209"/>
    <cellStyle name="Ênfase6 3" xfId="210"/>
    <cellStyle name="Ênfase6 4" xfId="211"/>
    <cellStyle name="Ênfase6 5" xfId="212"/>
    <cellStyle name="Ênfase6 6" xfId="213"/>
    <cellStyle name="Entrada" xfId="214"/>
    <cellStyle name="Entrada 1" xfId="215"/>
    <cellStyle name="Entrada 2" xfId="216"/>
    <cellStyle name="Entrada 3" xfId="217"/>
    <cellStyle name="Entrada 4" xfId="218"/>
    <cellStyle name="Entrada 5" xfId="219"/>
    <cellStyle name="Entrada 6" xfId="220"/>
    <cellStyle name="Explanatory Text" xfId="221"/>
    <cellStyle name="Good" xfId="222"/>
    <cellStyle name="Heading 1" xfId="223"/>
    <cellStyle name="Heading 2" xfId="224"/>
    <cellStyle name="Heading 3" xfId="225"/>
    <cellStyle name="Heading 4" xfId="226"/>
    <cellStyle name="Hyperlink" xfId="227"/>
    <cellStyle name="Followed Hyperlink" xfId="228"/>
    <cellStyle name="Incorreto 1" xfId="229"/>
    <cellStyle name="Incorreto 2" xfId="230"/>
    <cellStyle name="Incorreto 3" xfId="231"/>
    <cellStyle name="Incorreto 4" xfId="232"/>
    <cellStyle name="Incorreto 5" xfId="233"/>
    <cellStyle name="Incorreto 6" xfId="234"/>
    <cellStyle name="Input" xfId="235"/>
    <cellStyle name="Linked Cell" xfId="236"/>
    <cellStyle name="Currency" xfId="237"/>
    <cellStyle name="Currency [0]" xfId="238"/>
    <cellStyle name="Moeda 2" xfId="239"/>
    <cellStyle name="Neutra" xfId="240"/>
    <cellStyle name="Neutra 1" xfId="241"/>
    <cellStyle name="Neutra 2" xfId="242"/>
    <cellStyle name="Neutra 3" xfId="243"/>
    <cellStyle name="Neutra 4" xfId="244"/>
    <cellStyle name="Neutra 5" xfId="245"/>
    <cellStyle name="Neutra 6" xfId="246"/>
    <cellStyle name="Neutral" xfId="247"/>
    <cellStyle name="Normal 2" xfId="248"/>
    <cellStyle name="Normal 2 2" xfId="249"/>
    <cellStyle name="Normal 2_PMOI Rev2013_08" xfId="250"/>
    <cellStyle name="Normal 2_SIGEO Ver_2013A" xfId="251"/>
    <cellStyle name="Normal 3" xfId="252"/>
    <cellStyle name="Normal 3 1" xfId="253"/>
    <cellStyle name="Normal 3_PMOI Rev2013_08" xfId="254"/>
    <cellStyle name="Normal 4" xfId="255"/>
    <cellStyle name="Normal 4 2" xfId="256"/>
    <cellStyle name="Normal 4 2 2" xfId="257"/>
    <cellStyle name="Normal 4 2_SIGEO Ver_2013A" xfId="258"/>
    <cellStyle name="Normal 4_PMOI - BDI Cotacao Rev_05" xfId="259"/>
    <cellStyle name="Normal 5" xfId="260"/>
    <cellStyle name="Normal 6" xfId="261"/>
    <cellStyle name="Normal_Cálculo BDI conforme TCU" xfId="262"/>
    <cellStyle name="Normal_Cálculo BDI conforme TCU_SIGEO Ver_2013A" xfId="263"/>
    <cellStyle name="Normal_Plan1" xfId="264"/>
    <cellStyle name="Nota" xfId="265"/>
    <cellStyle name="Nota 1" xfId="266"/>
    <cellStyle name="Nota 2" xfId="267"/>
    <cellStyle name="Nota 3" xfId="268"/>
    <cellStyle name="Nota 4" xfId="269"/>
    <cellStyle name="Nota 5" xfId="270"/>
    <cellStyle name="Nota 6" xfId="271"/>
    <cellStyle name="Note" xfId="272"/>
    <cellStyle name="Output" xfId="273"/>
    <cellStyle name="Percent" xfId="274"/>
    <cellStyle name="Porcentagem 2" xfId="275"/>
    <cellStyle name="Saída 1" xfId="276"/>
    <cellStyle name="Saída 2" xfId="277"/>
    <cellStyle name="Saída 3" xfId="278"/>
    <cellStyle name="Saída 4" xfId="279"/>
    <cellStyle name="Saída 5" xfId="280"/>
    <cellStyle name="Saída 6" xfId="281"/>
    <cellStyle name="Comma [0]" xfId="282"/>
    <cellStyle name="Texto de Aviso" xfId="283"/>
    <cellStyle name="Texto de Aviso 1" xfId="284"/>
    <cellStyle name="Texto de Aviso 2" xfId="285"/>
    <cellStyle name="Texto de Aviso 3" xfId="286"/>
    <cellStyle name="Texto de Aviso 4" xfId="287"/>
    <cellStyle name="Texto de Aviso 5" xfId="288"/>
    <cellStyle name="Texto de Aviso 6" xfId="289"/>
    <cellStyle name="Texto Explicativo 1" xfId="290"/>
    <cellStyle name="Texto Explicativo 2" xfId="291"/>
    <cellStyle name="Texto Explicativo 3" xfId="292"/>
    <cellStyle name="Texto Explicativo 4" xfId="293"/>
    <cellStyle name="Texto Explicativo 5" xfId="294"/>
    <cellStyle name="Texto Explicativo 6" xfId="295"/>
    <cellStyle name="Title" xfId="296"/>
    <cellStyle name="Título 1 1" xfId="297"/>
    <cellStyle name="Título 1 2" xfId="298"/>
    <cellStyle name="Título 1 3" xfId="299"/>
    <cellStyle name="Título 1 4" xfId="300"/>
    <cellStyle name="Título 1 5" xfId="301"/>
    <cellStyle name="Título 1 6" xfId="302"/>
    <cellStyle name="Título 1 7" xfId="303"/>
    <cellStyle name="Título 10" xfId="304"/>
    <cellStyle name="Titulo 2" xfId="305"/>
    <cellStyle name="Título 2 1" xfId="306"/>
    <cellStyle name="Título 2 2" xfId="307"/>
    <cellStyle name="Título 2 3" xfId="308"/>
    <cellStyle name="Título 2 4" xfId="309"/>
    <cellStyle name="Título 2 5" xfId="310"/>
    <cellStyle name="Título 2 6" xfId="311"/>
    <cellStyle name="Titulo 3" xfId="312"/>
    <cellStyle name="Título 3 1" xfId="313"/>
    <cellStyle name="Título 3 2" xfId="314"/>
    <cellStyle name="Título 3 3" xfId="315"/>
    <cellStyle name="Título 3 4" xfId="316"/>
    <cellStyle name="Título 3 5" xfId="317"/>
    <cellStyle name="Título 3 6" xfId="318"/>
    <cellStyle name="Título 4 1" xfId="319"/>
    <cellStyle name="Título 4 2" xfId="320"/>
    <cellStyle name="Título 4 3" xfId="321"/>
    <cellStyle name="Título 4 4" xfId="322"/>
    <cellStyle name="Título 4 5" xfId="323"/>
    <cellStyle name="Título 4 6" xfId="324"/>
    <cellStyle name="Título 5" xfId="325"/>
    <cellStyle name="Título 6" xfId="326"/>
    <cellStyle name="Título 7" xfId="327"/>
    <cellStyle name="Título 8" xfId="328"/>
    <cellStyle name="Título 9" xfId="329"/>
    <cellStyle name="Total" xfId="330"/>
    <cellStyle name="Total 1" xfId="331"/>
    <cellStyle name="Total 2" xfId="332"/>
    <cellStyle name="Total 3" xfId="333"/>
    <cellStyle name="Total 4" xfId="334"/>
    <cellStyle name="Total 5" xfId="335"/>
    <cellStyle name="Total 6" xfId="336"/>
    <cellStyle name="Comma" xfId="337"/>
    <cellStyle name="Vírgula 2" xfId="338"/>
    <cellStyle name="Vírgula 2 2" xfId="339"/>
    <cellStyle name="Vírgula 2 2 2" xfId="340"/>
    <cellStyle name="Vírgula 3" xfId="341"/>
    <cellStyle name="Vírgula 3 2" xfId="342"/>
    <cellStyle name="Vírgula 3_PMOI Rev2013_08" xfId="343"/>
    <cellStyle name="Vírgula 4" xfId="344"/>
    <cellStyle name="Warning Text" xfId="345"/>
  </cellStyles>
  <dxfs count="12">
    <dxf>
      <font>
        <b/>
        <i val="0"/>
        <color indexed="9"/>
      </font>
      <fill>
        <patternFill patternType="solid">
          <bgColor indexed="10"/>
        </patternFill>
      </fill>
    </dxf>
    <dxf>
      <font>
        <b/>
        <i val="0"/>
        <color indexed="17"/>
      </font>
      <fill>
        <patternFill>
          <bgColor indexed="9"/>
        </patternFill>
      </fill>
    </dxf>
    <dxf>
      <font>
        <b/>
        <i val="0"/>
        <color indexed="17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lor indexed="17"/>
      </font>
    </dxf>
    <dxf>
      <font>
        <color indexed="10"/>
      </font>
    </dxf>
    <dxf>
      <fill>
        <patternFill>
          <bgColor indexed="9"/>
        </patternFill>
      </fill>
    </dxf>
    <dxf>
      <font>
        <color rgb="FFFF0000"/>
      </font>
      <border/>
    </dxf>
    <dxf>
      <font>
        <color rgb="FF008000"/>
      </font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fill>
        <patternFill>
          <bgColor rgb="FFFFFFFF"/>
        </patternFill>
      </fill>
      <border/>
    </dxf>
    <dxf>
      <font>
        <b/>
        <i val="0"/>
        <color rgb="FFFFFFFF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966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30</xdr:row>
      <xdr:rowOff>0</xdr:rowOff>
    </xdr:from>
    <xdr:to>
      <xdr:col>11</xdr:col>
      <xdr:colOff>0</xdr:colOff>
      <xdr:row>33</xdr:row>
      <xdr:rowOff>76200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628650" y="5210175"/>
          <a:ext cx="10410825" cy="561975"/>
        </a:xfrm>
        <a:prstGeom prst="rect">
          <a:avLst/>
        </a:prstGeom>
        <a:solidFill>
          <a:srgbClr val="E6E6E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133350</xdr:rowOff>
    </xdr:from>
    <xdr:to>
      <xdr:col>3</xdr:col>
      <xdr:colOff>2638425</xdr:colOff>
      <xdr:row>28</xdr:row>
      <xdr:rowOff>85725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4495800"/>
          <a:ext cx="2952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SheetLayoutView="100" zoomScalePageLayoutView="0" workbookViewId="0" topLeftCell="A1">
      <selection activeCell="B24" sqref="B24"/>
    </sheetView>
  </sheetViews>
  <sheetFormatPr defaultColWidth="8.00390625" defaultRowHeight="14.25"/>
  <cols>
    <col min="1" max="2" width="8.25390625" style="113" customWidth="1"/>
    <col min="3" max="3" width="5.625" style="118" customWidth="1"/>
    <col min="4" max="4" width="42.75390625" style="113" customWidth="1"/>
    <col min="5" max="5" width="18.50390625" style="113" customWidth="1"/>
    <col min="6" max="6" width="11.375" style="113" customWidth="1"/>
    <col min="7" max="7" width="10.125" style="113" customWidth="1"/>
    <col min="8" max="9" width="11.875" style="113" customWidth="1"/>
    <col min="10" max="10" width="8.00390625" style="113" customWidth="1"/>
    <col min="11" max="11" width="8.25390625" style="113" customWidth="1"/>
    <col min="12" max="12" width="13.00390625" style="113" customWidth="1"/>
    <col min="13" max="23" width="15.50390625" style="12" hidden="1" customWidth="1"/>
    <col min="24" max="24" width="15.50390625" style="113" customWidth="1"/>
    <col min="25" max="25" width="21.875" style="113" customWidth="1"/>
    <col min="26" max="26" width="10.125" style="113" customWidth="1"/>
    <col min="27" max="28" width="9.625" style="113" customWidth="1"/>
    <col min="29" max="29" width="7.375" style="113" customWidth="1"/>
    <col min="30" max="32" width="5.50390625" style="113" bestFit="1" customWidth="1"/>
    <col min="33" max="16384" width="8.00390625" style="113" customWidth="1"/>
  </cols>
  <sheetData>
    <row r="1" spans="1:23" s="112" customFormat="1" ht="12.75">
      <c r="A1" s="5"/>
      <c r="B1" s="5"/>
      <c r="C1" s="21"/>
      <c r="D1" s="6" t="s">
        <v>5</v>
      </c>
      <c r="E1" s="6" t="s">
        <v>11</v>
      </c>
      <c r="F1" s="1"/>
      <c r="G1" s="1"/>
      <c r="H1" s="2" t="s">
        <v>12</v>
      </c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12" customFormat="1" ht="12.75">
      <c r="A2" s="5"/>
      <c r="B2" s="5"/>
      <c r="C2" s="21"/>
      <c r="D2" s="47" t="s">
        <v>96</v>
      </c>
      <c r="E2" s="155"/>
      <c r="F2" s="158"/>
      <c r="G2" s="159"/>
      <c r="H2" s="3" t="s">
        <v>12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12" customFormat="1" ht="12.75">
      <c r="A3" s="5"/>
      <c r="B3" s="5"/>
      <c r="C3" s="21"/>
      <c r="D3" s="8" t="s">
        <v>3</v>
      </c>
      <c r="E3" s="9"/>
      <c r="F3" s="1"/>
      <c r="G3" s="1"/>
      <c r="H3" s="2" t="s">
        <v>12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112" customFormat="1" ht="12.75">
      <c r="A4" s="10"/>
      <c r="B4" s="10"/>
      <c r="C4" s="21"/>
      <c r="D4" s="155"/>
      <c r="E4" s="156"/>
      <c r="F4" s="156"/>
      <c r="G4" s="157"/>
      <c r="H4" s="3" t="s">
        <v>12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12" customFormat="1" ht="12.75">
      <c r="A5" s="5"/>
      <c r="B5" s="5"/>
      <c r="C5" s="21"/>
      <c r="D5" s="8" t="s">
        <v>2</v>
      </c>
      <c r="E5" s="11" t="s">
        <v>4</v>
      </c>
      <c r="F5" s="1"/>
      <c r="G5" s="1"/>
      <c r="H5" s="2" t="s">
        <v>12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112" customFormat="1" ht="12.75">
      <c r="A6" s="5"/>
      <c r="B6" s="5"/>
      <c r="C6" s="21"/>
      <c r="D6" s="47" t="s">
        <v>92</v>
      </c>
      <c r="E6" s="155"/>
      <c r="F6" s="156"/>
      <c r="G6" s="157"/>
      <c r="H6" s="3" t="s">
        <v>12</v>
      </c>
      <c r="I6" s="7"/>
      <c r="J6" s="62"/>
      <c r="K6" s="7"/>
      <c r="L6" s="63" t="s">
        <v>91</v>
      </c>
      <c r="M6" s="7"/>
      <c r="N6" s="74"/>
      <c r="O6" s="7"/>
      <c r="P6" s="7"/>
      <c r="Q6" s="7"/>
      <c r="R6" s="7"/>
      <c r="S6" s="7"/>
      <c r="T6" s="7"/>
      <c r="U6" s="7"/>
      <c r="V6" s="7"/>
      <c r="W6" s="7"/>
    </row>
    <row r="7" spans="1:12" ht="6" customHeight="1" thickBot="1">
      <c r="A7" s="12"/>
      <c r="B7" s="12"/>
      <c r="C7" s="22"/>
      <c r="D7" s="12"/>
      <c r="E7" s="12"/>
      <c r="F7" s="12"/>
      <c r="G7" s="13"/>
      <c r="H7" s="12"/>
      <c r="I7" s="12"/>
      <c r="J7" s="12"/>
      <c r="K7" s="12"/>
      <c r="L7" s="12"/>
    </row>
    <row r="8" spans="1:23" s="114" customFormat="1" ht="18" customHeight="1" thickBot="1">
      <c r="A8" s="180" t="str">
        <f>IF(N24=1,N26,N25)</f>
        <v>Composição do BDI para obras com mão-de-obra desonerada (conforme Lei 13.161 de 2015)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2"/>
      <c r="M8" s="102"/>
      <c r="N8" s="103" t="b">
        <v>1</v>
      </c>
      <c r="O8" s="102"/>
      <c r="P8" s="102"/>
      <c r="Q8" s="102"/>
      <c r="R8" s="102"/>
      <c r="S8" s="102"/>
      <c r="T8" s="102"/>
      <c r="U8" s="102"/>
      <c r="V8" s="102"/>
      <c r="W8" s="102"/>
    </row>
    <row r="9" spans="1:15" ht="1.5" customHeight="1">
      <c r="A9" s="14"/>
      <c r="B9" s="14"/>
      <c r="C9" s="23"/>
      <c r="D9" s="15"/>
      <c r="E9" s="16"/>
      <c r="F9" s="16"/>
      <c r="G9" s="16"/>
      <c r="H9" s="16"/>
      <c r="I9" s="16"/>
      <c r="J9" s="16"/>
      <c r="K9" s="12"/>
      <c r="L9" s="12"/>
      <c r="O9" s="27"/>
    </row>
    <row r="10" spans="1:23" s="115" customFormat="1" ht="12.75">
      <c r="A10" s="14"/>
      <c r="B10" s="14"/>
      <c r="C10" s="23"/>
      <c r="D10" s="26" t="s">
        <v>15</v>
      </c>
      <c r="E10" s="16"/>
      <c r="F10" s="26"/>
      <c r="G10" s="149"/>
      <c r="H10" s="101"/>
      <c r="I10" s="101"/>
      <c r="J10" s="16"/>
      <c r="K10" s="27"/>
      <c r="L10" s="27"/>
      <c r="M10" s="27"/>
      <c r="N10" s="58" t="s">
        <v>32</v>
      </c>
      <c r="O10" s="104">
        <v>1</v>
      </c>
      <c r="P10" s="27" t="str">
        <f>IF(O10=1,N10,IF(O10=2,N11,IF(O10=3,N12,IF(O10=4,N13,IF(O10=5,N14,IF(O10=6,N15," "))))))</f>
        <v>Construção de Edifícios</v>
      </c>
      <c r="Q10" s="27"/>
      <c r="R10" s="27"/>
      <c r="S10" s="27"/>
      <c r="T10" s="27"/>
      <c r="U10" s="27"/>
      <c r="V10" s="27"/>
      <c r="W10" s="27"/>
    </row>
    <row r="11" spans="1:23" s="115" customFormat="1" ht="12.75">
      <c r="A11" s="14"/>
      <c r="B11" s="14"/>
      <c r="C11" s="23"/>
      <c r="D11" s="26"/>
      <c r="E11" s="16"/>
      <c r="F11" s="16"/>
      <c r="G11" s="149"/>
      <c r="H11" s="119"/>
      <c r="I11" s="119"/>
      <c r="J11" s="16"/>
      <c r="K11" s="27"/>
      <c r="L11" s="27"/>
      <c r="M11" s="27"/>
      <c r="N11" s="58" t="s">
        <v>33</v>
      </c>
      <c r="O11" s="27"/>
      <c r="P11" s="27"/>
      <c r="Q11" s="27"/>
      <c r="R11" s="58"/>
      <c r="S11" s="27"/>
      <c r="T11" s="27"/>
      <c r="U11" s="27"/>
      <c r="V11" s="27"/>
      <c r="W11" s="27"/>
    </row>
    <row r="12" spans="1:23" s="115" customFormat="1" ht="13.5" thickBot="1">
      <c r="A12" s="14"/>
      <c r="B12" s="14"/>
      <c r="C12" s="23"/>
      <c r="D12" s="26"/>
      <c r="E12" s="16"/>
      <c r="F12" s="16"/>
      <c r="G12" s="16"/>
      <c r="H12" s="16"/>
      <c r="I12" s="16"/>
      <c r="J12" s="16"/>
      <c r="K12" s="27"/>
      <c r="L12" s="27"/>
      <c r="M12" s="27"/>
      <c r="N12" s="58" t="s">
        <v>34</v>
      </c>
      <c r="O12" s="27"/>
      <c r="P12" s="27"/>
      <c r="Q12" s="27"/>
      <c r="R12" s="58"/>
      <c r="S12" s="27"/>
      <c r="T12" s="27"/>
      <c r="U12" s="27"/>
      <c r="V12" s="27"/>
      <c r="W12" s="27"/>
    </row>
    <row r="13" spans="1:23" s="115" customFormat="1" ht="13.5" customHeight="1" thickBot="1">
      <c r="A13" s="14"/>
      <c r="B13" s="14"/>
      <c r="C13" s="174" t="str">
        <f>"COMPOSIÇÃO - BDI para "&amp;P10</f>
        <v>COMPOSIÇÃO - BDI para Construção de Edifícios</v>
      </c>
      <c r="D13" s="175"/>
      <c r="E13" s="175"/>
      <c r="F13" s="175"/>
      <c r="G13" s="175"/>
      <c r="H13" s="175"/>
      <c r="I13" s="176"/>
      <c r="J13" s="12"/>
      <c r="K13" s="27"/>
      <c r="L13" s="27"/>
      <c r="M13" s="27"/>
      <c r="N13" s="58" t="s">
        <v>35</v>
      </c>
      <c r="O13" s="27"/>
      <c r="P13" s="27"/>
      <c r="Q13" s="27"/>
      <c r="R13" s="58"/>
      <c r="S13" s="27"/>
      <c r="T13" s="27"/>
      <c r="U13" s="27"/>
      <c r="V13" s="27"/>
      <c r="W13" s="27"/>
    </row>
    <row r="14" spans="1:23" s="115" customFormat="1" ht="27.75" customHeight="1">
      <c r="A14" s="14"/>
      <c r="B14" s="14"/>
      <c r="C14" s="31" t="s">
        <v>9</v>
      </c>
      <c r="D14" s="32" t="s">
        <v>20</v>
      </c>
      <c r="E14" s="32" t="s">
        <v>19</v>
      </c>
      <c r="F14" s="32" t="s">
        <v>30</v>
      </c>
      <c r="G14" s="32" t="s">
        <v>24</v>
      </c>
      <c r="H14" s="120" t="s">
        <v>88</v>
      </c>
      <c r="I14" s="120" t="s">
        <v>89</v>
      </c>
      <c r="J14" s="12"/>
      <c r="K14" s="27"/>
      <c r="L14" s="27"/>
      <c r="M14" s="27"/>
      <c r="N14" s="58" t="s">
        <v>36</v>
      </c>
      <c r="O14" s="27"/>
      <c r="P14" s="27"/>
      <c r="Q14" s="27"/>
      <c r="R14" s="58"/>
      <c r="S14" s="27"/>
      <c r="T14" s="27"/>
      <c r="U14" s="27"/>
      <c r="V14" s="27"/>
      <c r="W14" s="27"/>
    </row>
    <row r="15" spans="1:23" s="115" customFormat="1" ht="13.5" customHeight="1">
      <c r="A15" s="14"/>
      <c r="B15" s="14"/>
      <c r="C15" s="36">
        <v>1</v>
      </c>
      <c r="D15" s="37" t="s">
        <v>16</v>
      </c>
      <c r="E15" s="52" t="s">
        <v>8</v>
      </c>
      <c r="F15" s="38">
        <v>0.04</v>
      </c>
      <c r="G15" s="39" t="str">
        <f>IF(F15="","",IF(AND(F15&gt;=H15,F15&lt;=I15),"OK",""))</f>
        <v>OK</v>
      </c>
      <c r="H15" s="48">
        <f>INDEX(matriz,$W17,$O$10)</f>
        <v>0.03</v>
      </c>
      <c r="I15" s="48">
        <f>INDEX(matriz2,$W23,$O$10)</f>
        <v>0.055</v>
      </c>
      <c r="J15" s="12"/>
      <c r="K15" s="27"/>
      <c r="L15" s="27"/>
      <c r="M15" s="27"/>
      <c r="N15" s="27" t="s">
        <v>37</v>
      </c>
      <c r="O15" s="27"/>
      <c r="P15" s="27"/>
      <c r="Q15" s="27"/>
      <c r="R15" s="58"/>
      <c r="S15" s="27"/>
      <c r="T15" s="27"/>
      <c r="U15" s="27"/>
      <c r="V15" s="27"/>
      <c r="W15" s="27"/>
    </row>
    <row r="16" spans="1:23" s="115" customFormat="1" ht="13.5" customHeight="1">
      <c r="A16" s="14"/>
      <c r="B16" s="14"/>
      <c r="C16" s="40">
        <v>2</v>
      </c>
      <c r="D16" s="41" t="s">
        <v>38</v>
      </c>
      <c r="E16" s="53" t="s">
        <v>39</v>
      </c>
      <c r="F16" s="42">
        <v>0.009</v>
      </c>
      <c r="G16" s="43" t="str">
        <f aca="true" t="shared" si="0" ref="G16:G24">IF(F16="","",IF(AND(F16&gt;=H16,F16&lt;=I16),"OK",""))</f>
        <v>OK</v>
      </c>
      <c r="H16" s="48">
        <f>INDEX(matriz,$W18,$O$10)</f>
        <v>0.008</v>
      </c>
      <c r="I16" s="48">
        <f>INDEX(matriz2,$W24,$O$10)</f>
        <v>0.01</v>
      </c>
      <c r="J16" s="12"/>
      <c r="K16" s="27"/>
      <c r="L16" s="27"/>
      <c r="M16" s="27"/>
      <c r="N16" s="58"/>
      <c r="O16" s="27"/>
      <c r="P16" s="58" t="s">
        <v>41</v>
      </c>
      <c r="Q16" s="58">
        <v>1</v>
      </c>
      <c r="R16" s="27">
        <v>2</v>
      </c>
      <c r="S16" s="27">
        <v>3</v>
      </c>
      <c r="T16" s="27">
        <v>4</v>
      </c>
      <c r="U16" s="27">
        <v>5</v>
      </c>
      <c r="V16" s="27">
        <v>6</v>
      </c>
      <c r="W16" s="27"/>
    </row>
    <row r="17" spans="1:23" s="115" customFormat="1" ht="13.5" customHeight="1">
      <c r="A17" s="14"/>
      <c r="B17" s="14"/>
      <c r="C17" s="40">
        <v>3</v>
      </c>
      <c r="D17" s="41" t="s">
        <v>29</v>
      </c>
      <c r="E17" s="53" t="s">
        <v>6</v>
      </c>
      <c r="F17" s="42">
        <v>0.0109</v>
      </c>
      <c r="G17" s="43" t="str">
        <f t="shared" si="0"/>
        <v>OK</v>
      </c>
      <c r="H17" s="48">
        <f>INDEX(matriz,$W19,$O$10)</f>
        <v>0.0097</v>
      </c>
      <c r="I17" s="48">
        <f>INDEX(matriz2,$W25,$O$10)</f>
        <v>0.0127</v>
      </c>
      <c r="J17" s="12"/>
      <c r="K17" s="33"/>
      <c r="L17" s="27"/>
      <c r="M17" s="27"/>
      <c r="N17" s="68"/>
      <c r="O17" s="27"/>
      <c r="P17" s="27"/>
      <c r="Q17" s="55">
        <v>0.03</v>
      </c>
      <c r="R17" s="55">
        <v>0.038</v>
      </c>
      <c r="S17" s="55">
        <v>0.0343</v>
      </c>
      <c r="T17" s="55">
        <v>0.0529</v>
      </c>
      <c r="U17" s="55">
        <v>0.04</v>
      </c>
      <c r="V17" s="55">
        <v>0.015</v>
      </c>
      <c r="W17" s="27">
        <v>1</v>
      </c>
    </row>
    <row r="18" spans="1:23" s="115" customFormat="1" ht="13.5" customHeight="1">
      <c r="A18" s="14"/>
      <c r="B18" s="14"/>
      <c r="C18" s="40">
        <v>4</v>
      </c>
      <c r="D18" s="41" t="s">
        <v>17</v>
      </c>
      <c r="E18" s="53" t="s">
        <v>7</v>
      </c>
      <c r="F18" s="42">
        <v>0.01</v>
      </c>
      <c r="G18" s="43" t="str">
        <f t="shared" si="0"/>
        <v>OK</v>
      </c>
      <c r="H18" s="48">
        <f>INDEX(matriz,$W20,$O$10)</f>
        <v>0.0059</v>
      </c>
      <c r="I18" s="48">
        <f>INDEX(matriz2,$W26,$O$10)</f>
        <v>0.0139</v>
      </c>
      <c r="J18" s="12"/>
      <c r="K18" s="33"/>
      <c r="L18" s="27"/>
      <c r="M18" s="27"/>
      <c r="N18" s="69">
        <f>((((1+F15+F16+F17)*(1+F18)*(1+F19))/(1-(F20-0.045))-1))</f>
        <v>0.20536280801466722</v>
      </c>
      <c r="O18" s="27"/>
      <c r="P18" s="27"/>
      <c r="Q18" s="55">
        <v>0.008</v>
      </c>
      <c r="R18" s="55">
        <v>0.0032</v>
      </c>
      <c r="S18" s="55">
        <v>0.0028</v>
      </c>
      <c r="T18" s="55">
        <v>0.0025</v>
      </c>
      <c r="U18" s="55">
        <v>0.0081</v>
      </c>
      <c r="V18" s="55">
        <v>0.003</v>
      </c>
      <c r="W18" s="27">
        <v>2</v>
      </c>
    </row>
    <row r="19" spans="1:23" s="115" customFormat="1" ht="13.5" customHeight="1">
      <c r="A19" s="14"/>
      <c r="B19" s="14"/>
      <c r="C19" s="40">
        <v>5</v>
      </c>
      <c r="D19" s="41" t="s">
        <v>40</v>
      </c>
      <c r="E19" s="53" t="s">
        <v>0</v>
      </c>
      <c r="F19" s="42">
        <v>0.07475</v>
      </c>
      <c r="G19" s="43" t="str">
        <f t="shared" si="0"/>
        <v>OK</v>
      </c>
      <c r="H19" s="48">
        <f>INDEX(matriz,$W21,$O$10)</f>
        <v>0.0616</v>
      </c>
      <c r="I19" s="48">
        <f>INDEX(matriz2,$W27,$O$10)</f>
        <v>0.0896</v>
      </c>
      <c r="J19" s="12"/>
      <c r="K19" s="33"/>
      <c r="L19" s="27"/>
      <c r="M19" s="27"/>
      <c r="N19" s="68" t="str">
        <f>"Percentual de BDI superior ao limite estipulado pelo Acórdão TCU 2.622/2013 devido a soma de 4,5% (CPRB, conforme LEI 13.161/2015) no item Tributos, referente a desoneração na Contribuição Previdenciária. O cálculo dessa composição onerada resulta em "&amp;N22</f>
        <v>Percentual de BDI superior ao limite estipulado pelo Acórdão TCU 2.622/2013 devido a soma de 4,5% (CPRB, conforme LEI 13.161/2015) no item Tributos, referente a desoneração na Contribuição Previdenciária. O cálculo dessa composição onerada resulta em 20,54%</v>
      </c>
      <c r="O19" s="27"/>
      <c r="P19" s="27"/>
      <c r="Q19" s="55">
        <v>0.0097</v>
      </c>
      <c r="R19" s="55">
        <v>0.005</v>
      </c>
      <c r="S19" s="55">
        <v>0.01</v>
      </c>
      <c r="T19" s="55">
        <v>0.01</v>
      </c>
      <c r="U19" s="55">
        <v>0.0146</v>
      </c>
      <c r="V19" s="55">
        <v>0.0056</v>
      </c>
      <c r="W19" s="27">
        <v>3</v>
      </c>
    </row>
    <row r="20" spans="1:23" s="115" customFormat="1" ht="13.5" customHeight="1">
      <c r="A20" s="14"/>
      <c r="B20" s="14"/>
      <c r="C20" s="40">
        <v>6</v>
      </c>
      <c r="D20" s="41" t="s">
        <v>18</v>
      </c>
      <c r="E20" s="53" t="s">
        <v>69</v>
      </c>
      <c r="F20" s="44">
        <f>SUM(F21:F24)</f>
        <v>0.09049999999999998</v>
      </c>
      <c r="G20" s="43" t="str">
        <f t="shared" si="0"/>
        <v>OK</v>
      </c>
      <c r="H20" s="48">
        <f>IF(N24=1,0.0365,0.0815)</f>
        <v>0.0815</v>
      </c>
      <c r="I20" s="48">
        <f>IF(N24=1,0.0865,0.1315)</f>
        <v>0.1315</v>
      </c>
      <c r="J20" s="12"/>
      <c r="K20" s="27"/>
      <c r="L20" s="27"/>
      <c r="M20" s="27"/>
      <c r="N20" s="70">
        <f>ROUND(N18*100,2)</f>
        <v>20.54</v>
      </c>
      <c r="O20" s="27"/>
      <c r="P20" s="27"/>
      <c r="Q20" s="55">
        <v>0.0059</v>
      </c>
      <c r="R20" s="55">
        <v>0.0102</v>
      </c>
      <c r="S20" s="55">
        <v>0.0094</v>
      </c>
      <c r="T20" s="55">
        <v>0.0101</v>
      </c>
      <c r="U20" s="55">
        <v>0.0094</v>
      </c>
      <c r="V20" s="55">
        <v>0.0085</v>
      </c>
      <c r="W20" s="27">
        <v>4</v>
      </c>
    </row>
    <row r="21" spans="1:23" s="115" customFormat="1" ht="13.5" customHeight="1" thickBot="1">
      <c r="A21" s="154"/>
      <c r="B21" s="154"/>
      <c r="C21" s="40" t="s">
        <v>25</v>
      </c>
      <c r="D21" s="41" t="s">
        <v>21</v>
      </c>
      <c r="E21" s="53" t="s">
        <v>21</v>
      </c>
      <c r="F21" s="44">
        <v>0.0065</v>
      </c>
      <c r="G21" s="43" t="str">
        <f t="shared" si="0"/>
        <v>OK</v>
      </c>
      <c r="H21" s="48">
        <v>0.0065</v>
      </c>
      <c r="I21" s="48">
        <v>0.0065</v>
      </c>
      <c r="J21" s="148" t="str">
        <f>IF(N24=2,"Foi incluída a CPRB com a alíquota de 4,50% sobre a Receita Bruta"," ")</f>
        <v>Foi incluída a CPRB com a alíquota de 4,50% sobre a Receita Bruta</v>
      </c>
      <c r="K21" s="148"/>
      <c r="L21" s="148"/>
      <c r="M21" s="27"/>
      <c r="N21" s="68" t="s">
        <v>53</v>
      </c>
      <c r="O21" s="27"/>
      <c r="P21" s="27"/>
      <c r="Q21" s="55">
        <v>0.0616</v>
      </c>
      <c r="R21" s="55">
        <v>0.0664</v>
      </c>
      <c r="S21" s="55">
        <v>0.0674</v>
      </c>
      <c r="T21" s="55">
        <v>0.08</v>
      </c>
      <c r="U21" s="55">
        <v>0.0714</v>
      </c>
      <c r="V21" s="55">
        <v>0.035</v>
      </c>
      <c r="W21" s="27">
        <v>5</v>
      </c>
    </row>
    <row r="22" spans="1:22" ht="13.5" customHeight="1">
      <c r="A22" s="150" t="s">
        <v>76</v>
      </c>
      <c r="B22" s="152" t="s">
        <v>75</v>
      </c>
      <c r="C22" s="40" t="s">
        <v>26</v>
      </c>
      <c r="D22" s="41" t="s">
        <v>22</v>
      </c>
      <c r="E22" s="53" t="s">
        <v>22</v>
      </c>
      <c r="F22" s="44">
        <v>0.03</v>
      </c>
      <c r="G22" s="43" t="str">
        <f t="shared" si="0"/>
        <v>OK</v>
      </c>
      <c r="H22" s="48">
        <v>0.03</v>
      </c>
      <c r="I22" s="48">
        <v>0.03</v>
      </c>
      <c r="J22" s="148"/>
      <c r="K22" s="148"/>
      <c r="L22" s="148"/>
      <c r="N22" s="71" t="str">
        <f>N20&amp;N21</f>
        <v>20,54%</v>
      </c>
      <c r="P22" s="56" t="s">
        <v>42</v>
      </c>
      <c r="Q22" s="56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</row>
    <row r="23" spans="1:23" ht="13.5" customHeight="1" thickBot="1">
      <c r="A23" s="151"/>
      <c r="B23" s="153"/>
      <c r="C23" s="64" t="s">
        <v>27</v>
      </c>
      <c r="D23" s="65" t="s">
        <v>55</v>
      </c>
      <c r="E23" s="66" t="s">
        <v>54</v>
      </c>
      <c r="F23" s="76">
        <f>IF(N24=1,0,0.045)</f>
        <v>0.045</v>
      </c>
      <c r="G23" s="43" t="str">
        <f t="shared" si="0"/>
        <v>OK</v>
      </c>
      <c r="H23" s="67">
        <f>IF(N24=1,0,0.045)</f>
        <v>0.045</v>
      </c>
      <c r="I23" s="67">
        <f>IF(N24=1,0,0.045)</f>
        <v>0.045</v>
      </c>
      <c r="J23" s="79"/>
      <c r="K23" s="79"/>
      <c r="L23" s="79"/>
      <c r="N23" s="71"/>
      <c r="Q23" s="55">
        <v>0.055</v>
      </c>
      <c r="R23" s="55">
        <v>0.0467</v>
      </c>
      <c r="S23" s="55">
        <v>0.0671</v>
      </c>
      <c r="T23" s="55">
        <v>0.0793</v>
      </c>
      <c r="U23" s="55">
        <v>0.0785</v>
      </c>
      <c r="V23" s="55">
        <v>0.0449</v>
      </c>
      <c r="W23" s="12">
        <v>1</v>
      </c>
    </row>
    <row r="24" spans="1:23" ht="13.5" customHeight="1" thickBot="1">
      <c r="A24" s="110">
        <v>0.03</v>
      </c>
      <c r="B24" s="111">
        <v>0.3</v>
      </c>
      <c r="C24" s="106" t="s">
        <v>56</v>
      </c>
      <c r="D24" s="107" t="s">
        <v>23</v>
      </c>
      <c r="E24" s="108" t="s">
        <v>23</v>
      </c>
      <c r="F24" s="109">
        <f>A24*B24</f>
        <v>0.009</v>
      </c>
      <c r="G24" s="105" t="str">
        <f t="shared" si="0"/>
        <v>OK</v>
      </c>
      <c r="H24" s="54">
        <f>IF(B24=0,0.02,0.02*B24)</f>
        <v>0.006</v>
      </c>
      <c r="I24" s="54">
        <f>IF(B24=0,0.05,0.05*B24)</f>
        <v>0.015</v>
      </c>
      <c r="J24" s="81"/>
      <c r="K24" s="81"/>
      <c r="L24" s="81"/>
      <c r="N24" s="75">
        <f>IF(N8=TRUE,2,1)</f>
        <v>2</v>
      </c>
      <c r="Q24" s="55">
        <v>0.01</v>
      </c>
      <c r="R24" s="55">
        <v>0.0074</v>
      </c>
      <c r="S24" s="55">
        <v>0.0075</v>
      </c>
      <c r="T24" s="55">
        <v>0.0056</v>
      </c>
      <c r="U24" s="55">
        <v>0.0199</v>
      </c>
      <c r="V24" s="55">
        <v>0.0082</v>
      </c>
      <c r="W24" s="12">
        <v>2</v>
      </c>
    </row>
    <row r="25" spans="1:23" ht="13.5" customHeight="1">
      <c r="A25" s="14"/>
      <c r="B25" s="14"/>
      <c r="C25" s="23"/>
      <c r="D25" s="26"/>
      <c r="E25" s="171" t="s">
        <v>52</v>
      </c>
      <c r="F25" s="172"/>
      <c r="G25" s="173"/>
      <c r="H25" s="146" t="str">
        <f>IF(O10=1,S30,IF(O10=2,S31,IF(O10=3,S32,IF(O10=4,S33,IF(O10=5,S34,IF(O10=6,S35," "))))))</f>
        <v>de 20,34% a 25,00%</v>
      </c>
      <c r="I25" s="147"/>
      <c r="J25" s="82"/>
      <c r="K25" s="82"/>
      <c r="L25" s="82"/>
      <c r="N25" s="56" t="s">
        <v>90</v>
      </c>
      <c r="Q25" s="55">
        <v>0.0127</v>
      </c>
      <c r="R25" s="55">
        <v>0.0097</v>
      </c>
      <c r="S25" s="55">
        <v>0.0174</v>
      </c>
      <c r="T25" s="55">
        <v>0.0197</v>
      </c>
      <c r="U25" s="55">
        <v>0.0316</v>
      </c>
      <c r="V25" s="55">
        <v>0.0089</v>
      </c>
      <c r="W25" s="12">
        <v>3</v>
      </c>
    </row>
    <row r="26" spans="1:23" ht="12.75" customHeight="1" thickBot="1">
      <c r="A26" s="14"/>
      <c r="B26" s="168" t="s">
        <v>51</v>
      </c>
      <c r="C26" s="169"/>
      <c r="D26" s="170"/>
      <c r="E26" s="16"/>
      <c r="F26" s="16"/>
      <c r="G26" s="16"/>
      <c r="H26" s="16"/>
      <c r="I26" s="27"/>
      <c r="J26" s="4"/>
      <c r="K26" s="4"/>
      <c r="L26" s="34"/>
      <c r="N26" s="56" t="s">
        <v>70</v>
      </c>
      <c r="Q26" s="55">
        <v>0.0139</v>
      </c>
      <c r="R26" s="55">
        <v>0.0121</v>
      </c>
      <c r="S26" s="55">
        <v>0.0117</v>
      </c>
      <c r="T26" s="55">
        <v>0.0111</v>
      </c>
      <c r="U26" s="55">
        <v>0.0133</v>
      </c>
      <c r="V26" s="55">
        <v>0.0111</v>
      </c>
      <c r="W26" s="12">
        <v>4</v>
      </c>
    </row>
    <row r="27" spans="1:23" ht="18" customHeight="1">
      <c r="A27" s="30"/>
      <c r="B27" s="49"/>
      <c r="C27" s="59"/>
      <c r="D27" s="26"/>
      <c r="E27" s="177" t="s">
        <v>28</v>
      </c>
      <c r="F27" s="179">
        <f>((((1+F15+F16+F17)*(1+F18)*(1+F19))/(1-F20))-1)</f>
        <v>0.26500142963166584</v>
      </c>
      <c r="G27" s="160" t="str">
        <f>N54</f>
        <v>OK! Percentual do BDI quando calculado sem desoneração atende ao limite estipulado pelo Acórdão TCU 2.622/2013.</v>
      </c>
      <c r="H27" s="161"/>
      <c r="I27" s="162"/>
      <c r="J27" s="27"/>
      <c r="K27" s="27"/>
      <c r="L27" s="27"/>
      <c r="N27" s="12" t="str">
        <f>IF(Q44=2,N44,IF(Q44=3,N45,IF(Q44=4,N46,IF(Q44=5,N47,IF(Q44=6,O48,"Erro")))))</f>
        <v>OK! Percentual do BDI quando calculado sem desoneração atende ao limite estipulado pelo Acórdão TCU 2.622/2013.</v>
      </c>
      <c r="Q27" s="55">
        <v>0.0896</v>
      </c>
      <c r="R27" s="55">
        <v>0.0869</v>
      </c>
      <c r="S27" s="55">
        <v>0.094</v>
      </c>
      <c r="T27" s="55">
        <v>0.0951</v>
      </c>
      <c r="U27" s="55">
        <v>0.1043</v>
      </c>
      <c r="V27" s="55">
        <v>0.0622</v>
      </c>
      <c r="W27" s="12">
        <v>5</v>
      </c>
    </row>
    <row r="28" spans="1:14" ht="18" customHeight="1" thickBot="1">
      <c r="A28" s="30"/>
      <c r="B28" s="49"/>
      <c r="C28" s="59"/>
      <c r="D28" s="26"/>
      <c r="E28" s="178"/>
      <c r="F28" s="178"/>
      <c r="G28" s="163"/>
      <c r="H28" s="163"/>
      <c r="I28" s="164"/>
      <c r="J28" s="27"/>
      <c r="K28" s="27"/>
      <c r="L28" s="27"/>
      <c r="N28" s="56" t="str">
        <f>IF(R44=2,N44,IF(R44=3,N46,IF(R44=4,O48,"Erro")))</f>
        <v>Percentual do BDI superior ao limite estipulado pelo Acórdão TCU 2.622/2013.</v>
      </c>
    </row>
    <row r="29" spans="1:12" ht="18" customHeight="1">
      <c r="A29" s="35"/>
      <c r="B29" s="50"/>
      <c r="C29" s="60"/>
      <c r="D29" s="61"/>
      <c r="E29" s="16"/>
      <c r="F29" s="16"/>
      <c r="G29" s="165"/>
      <c r="H29" s="166"/>
      <c r="I29" s="167"/>
      <c r="J29" s="27"/>
      <c r="K29" s="27"/>
      <c r="L29" s="27"/>
    </row>
    <row r="30" spans="1:23" ht="12.75" customHeight="1">
      <c r="A30" s="35"/>
      <c r="B30" s="14"/>
      <c r="C30" s="26"/>
      <c r="D30" s="27"/>
      <c r="E30" s="16"/>
      <c r="F30" s="16"/>
      <c r="G30" s="16"/>
      <c r="H30" s="16"/>
      <c r="I30" s="16"/>
      <c r="J30" s="27"/>
      <c r="K30" s="27"/>
      <c r="L30" s="27"/>
      <c r="N30" s="12" t="str">
        <f>(B24*100)&amp;N21</f>
        <v>30%</v>
      </c>
      <c r="P30" s="58" t="s">
        <v>32</v>
      </c>
      <c r="Q30" s="57">
        <v>0.2034</v>
      </c>
      <c r="R30" s="57">
        <v>0.25</v>
      </c>
      <c r="S30" s="56" t="s">
        <v>43</v>
      </c>
      <c r="W30" s="12">
        <v>1</v>
      </c>
    </row>
    <row r="31" spans="1:23" ht="12.75" customHeight="1">
      <c r="A31" s="14"/>
      <c r="B31" s="19" t="s">
        <v>31</v>
      </c>
      <c r="C31" s="29"/>
      <c r="D31" s="28"/>
      <c r="E31" s="28"/>
      <c r="F31" s="28"/>
      <c r="G31" s="28"/>
      <c r="H31" s="28"/>
      <c r="I31" s="28"/>
      <c r="J31" s="27"/>
      <c r="K31" s="27"/>
      <c r="L31" s="27"/>
      <c r="N31" s="12" t="str">
        <f>(A24*100)&amp;N21</f>
        <v>3%</v>
      </c>
      <c r="P31" s="58" t="s">
        <v>33</v>
      </c>
      <c r="Q31" s="57">
        <v>0.196</v>
      </c>
      <c r="R31" s="57">
        <v>0.2423</v>
      </c>
      <c r="S31" s="56" t="s">
        <v>44</v>
      </c>
      <c r="W31" s="12">
        <v>2</v>
      </c>
    </row>
    <row r="32" spans="1:23" ht="12.75" customHeight="1">
      <c r="A32" s="14"/>
      <c r="B32" s="19"/>
      <c r="C32" s="29"/>
      <c r="D32" s="28"/>
      <c r="E32" s="28"/>
      <c r="F32" s="28"/>
      <c r="G32" s="28"/>
      <c r="H32" s="28"/>
      <c r="I32" s="28"/>
      <c r="J32" s="27"/>
      <c r="K32" s="27"/>
      <c r="L32" s="27"/>
      <c r="N32" s="12" t="str">
        <f>" e a sua base de cálculo é de "&amp;N30</f>
        <v> e a sua base de cálculo é de 30%</v>
      </c>
      <c r="P32" s="58" t="s">
        <v>34</v>
      </c>
      <c r="Q32" s="57">
        <v>0.2076</v>
      </c>
      <c r="R32" s="57">
        <v>0.2644</v>
      </c>
      <c r="S32" s="56" t="s">
        <v>45</v>
      </c>
      <c r="W32" s="12">
        <v>3</v>
      </c>
    </row>
    <row r="33" spans="1:23" ht="12.75" customHeight="1">
      <c r="A33" s="28"/>
      <c r="B33" s="17"/>
      <c r="C33" s="24"/>
      <c r="D33" s="17"/>
      <c r="E33" s="17"/>
      <c r="F33" s="17"/>
      <c r="G33" s="17"/>
      <c r="H33" s="17"/>
      <c r="I33" s="17"/>
      <c r="J33" s="28"/>
      <c r="K33" s="28"/>
      <c r="L33" s="28"/>
      <c r="N33" s="12" t="str">
        <f>N31&amp;N32</f>
        <v>3% e a sua base de cálculo é de 30%</v>
      </c>
      <c r="P33" s="58" t="s">
        <v>35</v>
      </c>
      <c r="Q33" s="57">
        <v>0.24</v>
      </c>
      <c r="R33" s="57">
        <v>0.2786</v>
      </c>
      <c r="S33" s="56" t="s">
        <v>46</v>
      </c>
      <c r="W33" s="12">
        <v>4</v>
      </c>
    </row>
    <row r="34" spans="1:24" ht="12.75" customHeight="1">
      <c r="A34" s="17"/>
      <c r="B34" s="17"/>
      <c r="C34" s="24"/>
      <c r="D34" s="17"/>
      <c r="E34" s="17"/>
      <c r="F34" s="17"/>
      <c r="G34" s="18"/>
      <c r="H34" s="17"/>
      <c r="I34" s="17"/>
      <c r="J34" s="17"/>
      <c r="K34" s="17"/>
      <c r="L34" s="17"/>
      <c r="M34" s="27"/>
      <c r="N34" s="58" t="str">
        <f>" sobre o valor total do orçamento."</f>
        <v> sobre o valor total do orçamento.</v>
      </c>
      <c r="O34" s="27"/>
      <c r="P34" s="58" t="s">
        <v>36</v>
      </c>
      <c r="Q34" s="55">
        <v>0.228</v>
      </c>
      <c r="R34" s="55">
        <v>0.3095</v>
      </c>
      <c r="S34" s="56" t="s">
        <v>47</v>
      </c>
      <c r="T34" s="27"/>
      <c r="U34" s="27"/>
      <c r="V34" s="27"/>
      <c r="W34" s="27">
        <v>5</v>
      </c>
      <c r="X34" s="115"/>
    </row>
    <row r="35" spans="1:23" s="115" customFormat="1" ht="12.75" customHeight="1">
      <c r="A35" s="17"/>
      <c r="B35" s="17"/>
      <c r="C35" s="24"/>
      <c r="D35" s="17"/>
      <c r="E35" s="17"/>
      <c r="F35" s="17"/>
      <c r="G35" s="18"/>
      <c r="H35" s="17"/>
      <c r="I35" s="17"/>
      <c r="J35" s="17"/>
      <c r="K35" s="17"/>
      <c r="L35" s="17"/>
      <c r="M35" s="27"/>
      <c r="N35" s="27" t="str">
        <f>N33&amp;N34</f>
        <v>3% e a sua base de cálculo é de 30% sobre o valor total do orçamento.</v>
      </c>
      <c r="O35" s="27"/>
      <c r="P35" s="27" t="s">
        <v>37</v>
      </c>
      <c r="Q35" s="55">
        <v>0.111</v>
      </c>
      <c r="R35" s="55">
        <v>0.168</v>
      </c>
      <c r="S35" s="56" t="s">
        <v>48</v>
      </c>
      <c r="T35" s="27"/>
      <c r="U35" s="27"/>
      <c r="V35" s="27"/>
      <c r="W35" s="27">
        <v>6</v>
      </c>
    </row>
    <row r="36" spans="1:23" s="115" customFormat="1" ht="12.75" customHeight="1">
      <c r="A36" s="13"/>
      <c r="B36" s="126" t="str">
        <f>IF(N24=2,(IF(Q44=5,N19," "))," ")</f>
        <v>Percentual de BDI superior ao limite estipulado pelo Acórdão TCU 2.622/2013 devido a soma de 4,5% (CPRB, conforme LEI 13.161/2015) no item Tributos, referente a desoneração na Contribuição Previdenciária. O cálculo dessa composição onerada resulta em 20,54%</v>
      </c>
      <c r="C36" s="127"/>
      <c r="D36" s="127"/>
      <c r="E36" s="127"/>
      <c r="F36" s="127"/>
      <c r="G36" s="127"/>
      <c r="H36" s="127"/>
      <c r="I36" s="127"/>
      <c r="J36" s="127"/>
      <c r="K36" s="128"/>
      <c r="L36" s="1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115" customFormat="1" ht="12.75" customHeight="1">
      <c r="A37" s="13"/>
      <c r="B37" s="129"/>
      <c r="C37" s="130"/>
      <c r="D37" s="130"/>
      <c r="E37" s="130"/>
      <c r="F37" s="130"/>
      <c r="G37" s="130"/>
      <c r="H37" s="130"/>
      <c r="I37" s="130"/>
      <c r="J37" s="130"/>
      <c r="K37" s="131"/>
      <c r="L37" s="13"/>
      <c r="M37" s="27"/>
      <c r="N37" s="27"/>
      <c r="O37" s="27"/>
      <c r="P37" s="58" t="s">
        <v>49</v>
      </c>
      <c r="Q37" s="55">
        <f>INDEX(Q30:R35,O10,1)</f>
        <v>0.2034</v>
      </c>
      <c r="R37" s="55">
        <f>INDEX(Q30:R35,O10,2)</f>
        <v>0.25</v>
      </c>
      <c r="S37" s="27"/>
      <c r="T37" s="27"/>
      <c r="U37" s="27"/>
      <c r="V37" s="27"/>
      <c r="W37" s="27"/>
    </row>
    <row r="38" spans="1:23" s="115" customFormat="1" ht="12.75" customHeight="1">
      <c r="A38" s="13"/>
      <c r="B38" s="78" t="s">
        <v>71</v>
      </c>
      <c r="C38" s="51"/>
      <c r="D38" s="51"/>
      <c r="E38" s="51"/>
      <c r="F38" s="51"/>
      <c r="G38" s="93"/>
      <c r="H38" s="93"/>
      <c r="I38" s="93"/>
      <c r="J38" s="93"/>
      <c r="K38" s="93"/>
      <c r="L38" s="13"/>
      <c r="M38" s="27"/>
      <c r="N38" s="27"/>
      <c r="O38" s="27"/>
      <c r="P38" s="27"/>
      <c r="Q38" s="55"/>
      <c r="R38" s="27"/>
      <c r="S38" s="27"/>
      <c r="T38" s="27"/>
      <c r="U38" s="27"/>
      <c r="V38" s="27"/>
      <c r="W38" s="27"/>
    </row>
    <row r="39" spans="1:23" s="115" customFormat="1" ht="12.75" customHeight="1">
      <c r="A39" s="13"/>
      <c r="B39" s="78" t="str">
        <f>IF(N24=2,"Obs²: O cálculo desta composição de BDI considera a desoneração da contribuição previdenciária, conforme Lei 13.161/2015."," ")</f>
        <v>Obs²: O cálculo desta composição de BDI considera a desoneração da contribuição previdenciária, conforme Lei 13.161/2015.</v>
      </c>
      <c r="C39" s="25"/>
      <c r="D39" s="19"/>
      <c r="E39" s="20"/>
      <c r="F39" s="20"/>
      <c r="G39" s="93"/>
      <c r="H39" s="93"/>
      <c r="I39" s="93"/>
      <c r="J39" s="93"/>
      <c r="K39" s="93"/>
      <c r="L39" s="13"/>
      <c r="M39" s="27"/>
      <c r="N39" s="27"/>
      <c r="O39" s="27"/>
      <c r="P39" s="58" t="s">
        <v>85</v>
      </c>
      <c r="Q39" s="55">
        <f>IF(N24=1,F27,N20/100)</f>
        <v>0.2054</v>
      </c>
      <c r="R39" s="27"/>
      <c r="S39" s="27"/>
      <c r="T39" s="27"/>
      <c r="U39" s="27"/>
      <c r="V39" s="27"/>
      <c r="W39" s="27"/>
    </row>
    <row r="40" spans="1:23" s="115" customFormat="1" ht="36" customHeight="1" thickBot="1">
      <c r="A40" s="13"/>
      <c r="B40" s="144" t="str">
        <f>IF(N24=2,N50,N51)</f>
        <v>Eu, responsável técnico pelo orçamento, declaro para os devidos fins, que a opção pela desoneração sobre a folha de pagamento é mais adequada para a administração pública.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3"/>
      <c r="M40" s="27"/>
      <c r="N40" s="27"/>
      <c r="O40" s="27"/>
      <c r="P40" s="58"/>
      <c r="Q40" s="27"/>
      <c r="R40" s="27"/>
      <c r="S40" s="55"/>
      <c r="T40" s="55"/>
      <c r="U40" s="27"/>
      <c r="V40" s="27"/>
      <c r="W40" s="27"/>
    </row>
    <row r="41" spans="1:23" s="115" customFormat="1" ht="12.75" customHeight="1" thickBot="1" thickTop="1">
      <c r="A41" s="13"/>
      <c r="B41" s="78"/>
      <c r="C41" s="25"/>
      <c r="D41" s="19"/>
      <c r="E41" s="20"/>
      <c r="F41" s="20"/>
      <c r="G41" s="134" t="s">
        <v>78</v>
      </c>
      <c r="H41" s="135"/>
      <c r="I41" s="135"/>
      <c r="J41" s="135"/>
      <c r="K41" s="136"/>
      <c r="L41" s="27"/>
      <c r="M41" s="27"/>
      <c r="N41" s="27"/>
      <c r="O41" s="58"/>
      <c r="P41" s="27"/>
      <c r="Q41" s="58" t="s">
        <v>59</v>
      </c>
      <c r="R41" s="58" t="s">
        <v>60</v>
      </c>
      <c r="S41" s="58" t="s">
        <v>61</v>
      </c>
      <c r="T41" s="27"/>
      <c r="U41" s="27"/>
      <c r="V41" s="27"/>
      <c r="W41" s="27"/>
    </row>
    <row r="42" spans="1:23" s="115" customFormat="1" ht="13.5" customHeight="1" thickTop="1">
      <c r="A42" s="13"/>
      <c r="B42" s="13"/>
      <c r="C42" s="25"/>
      <c r="D42" s="19"/>
      <c r="E42" s="13"/>
      <c r="F42" s="13"/>
      <c r="G42" s="137" t="str">
        <f>"        Declaro, conforme legislação tributária municipal, que a alíquota do ISS é de "&amp;N35</f>
        <v>        Declaro, conforme legislação tributária municipal, que a alíquota do ISS é de 3% e a sua base de cálculo é de 30% sobre o valor total do orçamento.</v>
      </c>
      <c r="H42" s="138"/>
      <c r="I42" s="138"/>
      <c r="J42" s="138"/>
      <c r="K42" s="139"/>
      <c r="L42" s="27"/>
      <c r="M42" s="27"/>
      <c r="N42" s="27"/>
      <c r="O42" s="58"/>
      <c r="P42" s="58" t="s">
        <v>57</v>
      </c>
      <c r="Q42" s="72">
        <f>IF(N18&lt;Q37,1,IF(N18&gt;R37,3,2))</f>
        <v>2</v>
      </c>
      <c r="R42" s="27">
        <f>IF(F27&lt;Q37,1,2)</f>
        <v>2</v>
      </c>
      <c r="S42" s="27"/>
      <c r="T42" s="27"/>
      <c r="U42" s="27"/>
      <c r="V42" s="27"/>
      <c r="W42" s="27"/>
    </row>
    <row r="43" spans="1:23" s="115" customFormat="1" ht="12.75">
      <c r="A43" s="133">
        <v>45124</v>
      </c>
      <c r="B43" s="133"/>
      <c r="C43" s="133"/>
      <c r="D43" s="19"/>
      <c r="E43" s="27"/>
      <c r="F43" s="87"/>
      <c r="G43" s="140"/>
      <c r="H43" s="141"/>
      <c r="I43" s="141"/>
      <c r="J43" s="141"/>
      <c r="K43" s="142"/>
      <c r="L43" s="28"/>
      <c r="M43" s="28"/>
      <c r="N43" s="28"/>
      <c r="O43" s="28" t="s">
        <v>50</v>
      </c>
      <c r="P43" s="28" t="s">
        <v>58</v>
      </c>
      <c r="Q43" s="73">
        <f>IF(F27&lt;Q37,1,IF(F27&gt;R37,3,2))</f>
        <v>3</v>
      </c>
      <c r="R43" s="28">
        <f>IF(F27&lt;R37,1,2)</f>
        <v>2</v>
      </c>
      <c r="S43" s="28"/>
      <c r="T43" s="28"/>
      <c r="U43" s="28"/>
      <c r="V43" s="28"/>
      <c r="W43" s="28"/>
    </row>
    <row r="44" spans="1:23" s="116" customFormat="1" ht="12.75" customHeight="1">
      <c r="A44" s="132" t="s">
        <v>1</v>
      </c>
      <c r="B44" s="132"/>
      <c r="C44" s="132"/>
      <c r="D44" s="19"/>
      <c r="E44" s="85"/>
      <c r="F44" s="85"/>
      <c r="G44" s="140"/>
      <c r="H44" s="141"/>
      <c r="I44" s="141"/>
      <c r="J44" s="141"/>
      <c r="K44" s="142"/>
      <c r="L44" s="17"/>
      <c r="M44" s="17">
        <v>2</v>
      </c>
      <c r="N44" s="17" t="s">
        <v>72</v>
      </c>
      <c r="O44" s="17" t="s">
        <v>62</v>
      </c>
      <c r="P44" s="77"/>
      <c r="Q44" s="73">
        <f>SUM(Q42:Q43)</f>
        <v>5</v>
      </c>
      <c r="R44" s="17">
        <f>SUM(R42:R43)</f>
        <v>4</v>
      </c>
      <c r="S44" s="17"/>
      <c r="T44" s="17"/>
      <c r="U44" s="17"/>
      <c r="V44" s="17"/>
      <c r="W44" s="17"/>
    </row>
    <row r="45" spans="1:23" s="117" customFormat="1" ht="12.75" customHeight="1">
      <c r="A45" s="12"/>
      <c r="B45" s="12"/>
      <c r="C45" s="22"/>
      <c r="D45" s="20"/>
      <c r="E45" s="95"/>
      <c r="F45" s="96"/>
      <c r="G45" s="89"/>
      <c r="H45" s="87"/>
      <c r="I45" s="20"/>
      <c r="J45" s="87"/>
      <c r="K45" s="88"/>
      <c r="L45" s="17"/>
      <c r="M45" s="17"/>
      <c r="N45" s="17" t="s">
        <v>73</v>
      </c>
      <c r="O45" s="17" t="s">
        <v>63</v>
      </c>
      <c r="P45" s="77"/>
      <c r="Q45" s="17"/>
      <c r="R45" s="17"/>
      <c r="S45" s="17"/>
      <c r="T45" s="17"/>
      <c r="U45" s="17"/>
      <c r="V45" s="17"/>
      <c r="W45" s="17"/>
    </row>
    <row r="46" spans="1:23" s="117" customFormat="1" ht="12.75" customHeight="1">
      <c r="A46" s="12"/>
      <c r="B46" s="12"/>
      <c r="C46" s="22"/>
      <c r="D46" s="13"/>
      <c r="E46" s="97"/>
      <c r="F46" s="98"/>
      <c r="G46" s="89"/>
      <c r="H46" s="87"/>
      <c r="I46" s="20"/>
      <c r="J46" s="87"/>
      <c r="K46" s="88"/>
      <c r="L46" s="17"/>
      <c r="M46" s="17">
        <v>3</v>
      </c>
      <c r="N46" s="17" t="s">
        <v>67</v>
      </c>
      <c r="O46" s="17" t="s">
        <v>64</v>
      </c>
      <c r="P46" s="17"/>
      <c r="Q46" s="17"/>
      <c r="R46" s="17"/>
      <c r="S46" s="17"/>
      <c r="T46" s="17"/>
      <c r="U46" s="17"/>
      <c r="V46" s="17"/>
      <c r="W46" s="17"/>
    </row>
    <row r="47" spans="1:23" s="117" customFormat="1" ht="12.75" customHeight="1" thickBot="1">
      <c r="A47" s="12"/>
      <c r="B47" s="12"/>
      <c r="C47" s="45"/>
      <c r="D47" s="46"/>
      <c r="E47" s="97"/>
      <c r="F47" s="98"/>
      <c r="G47" s="90"/>
      <c r="H47" s="27"/>
      <c r="I47" s="27"/>
      <c r="J47" s="27"/>
      <c r="K47" s="91"/>
      <c r="L47" s="17"/>
      <c r="M47" s="17"/>
      <c r="N47" s="17" t="s">
        <v>68</v>
      </c>
      <c r="O47" s="17" t="s">
        <v>65</v>
      </c>
      <c r="P47" s="17"/>
      <c r="Q47" s="17"/>
      <c r="R47" s="17"/>
      <c r="S47" s="17"/>
      <c r="T47" s="17"/>
      <c r="U47" s="17"/>
      <c r="V47" s="17"/>
      <c r="W47" s="17"/>
    </row>
    <row r="48" spans="1:23" s="117" customFormat="1" ht="14.25" customHeight="1">
      <c r="A48" s="12"/>
      <c r="B48" s="12"/>
      <c r="C48" s="45"/>
      <c r="D48" s="86" t="s">
        <v>77</v>
      </c>
      <c r="E48" s="12"/>
      <c r="F48" s="12"/>
      <c r="G48" s="90"/>
      <c r="H48" s="125" t="s">
        <v>82</v>
      </c>
      <c r="I48" s="125"/>
      <c r="J48" s="125"/>
      <c r="K48" s="91"/>
      <c r="L48" s="12"/>
      <c r="M48" s="17"/>
      <c r="N48" s="17">
        <v>4</v>
      </c>
      <c r="O48" s="17" t="s">
        <v>74</v>
      </c>
      <c r="P48" s="17" t="s">
        <v>66</v>
      </c>
      <c r="Q48" s="17"/>
      <c r="R48" s="17"/>
      <c r="S48" s="17"/>
      <c r="T48" s="17"/>
      <c r="U48" s="17"/>
      <c r="V48" s="17"/>
      <c r="W48" s="17"/>
    </row>
    <row r="49" spans="1:24" s="117" customFormat="1" ht="12.75">
      <c r="A49" s="12"/>
      <c r="B49" s="12"/>
      <c r="C49" s="45" t="s">
        <v>10</v>
      </c>
      <c r="D49" s="80" t="s">
        <v>97</v>
      </c>
      <c r="E49" s="12"/>
      <c r="F49" s="12"/>
      <c r="G49" s="94" t="s">
        <v>79</v>
      </c>
      <c r="H49" s="143" t="s">
        <v>94</v>
      </c>
      <c r="I49" s="143"/>
      <c r="J49" s="143"/>
      <c r="K49" s="91"/>
      <c r="L49" s="12"/>
      <c r="M49" s="12"/>
      <c r="N49" s="12"/>
      <c r="O49" s="12"/>
      <c r="P49" s="56"/>
      <c r="Q49" s="12"/>
      <c r="R49" s="12"/>
      <c r="S49" s="12"/>
      <c r="T49" s="12"/>
      <c r="U49" s="12"/>
      <c r="V49" s="12"/>
      <c r="W49" s="12"/>
      <c r="X49" s="113"/>
    </row>
    <row r="50" spans="1:23" ht="12.75">
      <c r="A50" s="12"/>
      <c r="B50" s="12"/>
      <c r="C50" s="45" t="s">
        <v>13</v>
      </c>
      <c r="D50" s="83" t="s">
        <v>98</v>
      </c>
      <c r="E50" s="12"/>
      <c r="F50" s="12"/>
      <c r="G50" s="99" t="s">
        <v>81</v>
      </c>
      <c r="H50" s="123" t="s">
        <v>93</v>
      </c>
      <c r="I50" s="123"/>
      <c r="J50" s="123"/>
      <c r="K50" s="91"/>
      <c r="L50" s="12"/>
      <c r="M50" s="13"/>
      <c r="N50" s="122" t="s">
        <v>83</v>
      </c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3.5" thickBot="1">
      <c r="A51" s="12"/>
      <c r="B51" s="12"/>
      <c r="C51" s="45" t="s">
        <v>14</v>
      </c>
      <c r="D51" s="84"/>
      <c r="E51" s="12"/>
      <c r="F51" s="12"/>
      <c r="G51" s="100" t="s">
        <v>80</v>
      </c>
      <c r="H51" s="124" t="s">
        <v>95</v>
      </c>
      <c r="I51" s="124"/>
      <c r="J51" s="124"/>
      <c r="K51" s="92"/>
      <c r="L51" s="12"/>
      <c r="M51" s="13"/>
      <c r="N51" s="122" t="s">
        <v>84</v>
      </c>
      <c r="O51" s="13"/>
      <c r="P51" s="13"/>
      <c r="Q51" s="13"/>
      <c r="R51" s="13"/>
      <c r="S51" s="13"/>
      <c r="T51" s="13"/>
      <c r="U51" s="13"/>
      <c r="V51" s="13"/>
      <c r="W51" s="13"/>
    </row>
    <row r="52" spans="1:12" ht="9.75" customHeight="1" thickTop="1">
      <c r="A52" s="12"/>
      <c r="B52" s="12"/>
      <c r="C52" s="22"/>
      <c r="D52" s="12"/>
      <c r="E52" s="12"/>
      <c r="F52" s="12"/>
      <c r="G52" s="98"/>
      <c r="H52" s="98"/>
      <c r="I52" s="12"/>
      <c r="J52" s="12"/>
      <c r="K52" s="12"/>
      <c r="L52" s="12"/>
    </row>
    <row r="53" ht="30.75" customHeight="1"/>
    <row r="54" ht="10.5" customHeight="1">
      <c r="N54" s="121" t="str">
        <f>IF(N24=1,N57,N58)</f>
        <v>OK! Percentual do BDI quando calculado sem desoneração atende ao limite estipulado pelo Acórdão TCU 2.622/2013.</v>
      </c>
    </row>
    <row r="55" ht="10.5" customHeight="1">
      <c r="N55" s="121"/>
    </row>
    <row r="56" ht="10.5" customHeight="1">
      <c r="N56" s="121"/>
    </row>
    <row r="57" spans="14:18" ht="10.5" customHeight="1">
      <c r="N57" s="121" t="str">
        <f>IF(Q39&lt;Q37,N44,IF(Q39&gt;R37,O48,N46))</f>
        <v>OK!</v>
      </c>
      <c r="R57" s="56" t="s">
        <v>86</v>
      </c>
    </row>
    <row r="58" spans="14:18" ht="12.75">
      <c r="N58" s="121" t="str">
        <f>IF(Q39&lt;Q37,N44,IF(Q39&gt;R37,O48,N59))</f>
        <v>OK! Percentual do BDI quando calculado sem desoneração atende ao limite estipulado pelo Acórdão TCU 2.622/2013.</v>
      </c>
      <c r="R58" s="56" t="s">
        <v>87</v>
      </c>
    </row>
    <row r="59" spans="14:18" ht="12.75">
      <c r="N59" s="121" t="str">
        <f>IF(F27&gt;R37,N47,N46)</f>
        <v>OK! Percentual do BDI quando calculado sem desoneração atende ao limite estipulado pelo Acórdão TCU 2.622/2013.</v>
      </c>
      <c r="R59" s="56" t="s">
        <v>87</v>
      </c>
    </row>
  </sheetData>
  <sheetProtection password="CCED" sheet="1" selectLockedCells="1"/>
  <mergeCells count="26">
    <mergeCell ref="D4:G4"/>
    <mergeCell ref="E2:G2"/>
    <mergeCell ref="G27:I29"/>
    <mergeCell ref="E6:G6"/>
    <mergeCell ref="B26:D26"/>
    <mergeCell ref="E25:G25"/>
    <mergeCell ref="C13:I13"/>
    <mergeCell ref="E27:E28"/>
    <mergeCell ref="F27:F28"/>
    <mergeCell ref="A8:L8"/>
    <mergeCell ref="H25:I25"/>
    <mergeCell ref="J21:L22"/>
    <mergeCell ref="G10:G11"/>
    <mergeCell ref="A22:A23"/>
    <mergeCell ref="B22:B23"/>
    <mergeCell ref="A21:B21"/>
    <mergeCell ref="H50:J50"/>
    <mergeCell ref="H51:J51"/>
    <mergeCell ref="H48:J48"/>
    <mergeCell ref="B36:K37"/>
    <mergeCell ref="A44:C44"/>
    <mergeCell ref="A43:C43"/>
    <mergeCell ref="G41:K41"/>
    <mergeCell ref="G42:K44"/>
    <mergeCell ref="H49:J49"/>
    <mergeCell ref="B40:K40"/>
  </mergeCells>
  <conditionalFormatting sqref="A43 D6:G6 D2:G2 D4:G4 D49:D51 E45:F47 G50:G52 H52">
    <cfRule type="cellIs" priority="1" dxfId="1" operator="notEqual" stopIfTrue="1">
      <formula>""</formula>
    </cfRule>
  </conditionalFormatting>
  <conditionalFormatting sqref="G26">
    <cfRule type="cellIs" priority="2" dxfId="7" operator="equal" stopIfTrue="1">
      <formula>"NÃO OK"</formula>
    </cfRule>
    <cfRule type="cellIs" priority="3" dxfId="8" operator="equal" stopIfTrue="1">
      <formula>"OK"</formula>
    </cfRule>
  </conditionalFormatting>
  <conditionalFormatting sqref="F15:F19 A24:B24 H49:J51">
    <cfRule type="cellIs" priority="4" dxfId="3" operator="equal" stopIfTrue="1">
      <formula>""</formula>
    </cfRule>
  </conditionalFormatting>
  <conditionalFormatting sqref="G27:I29">
    <cfRule type="cellIs" priority="5" dxfId="9" operator="equal" stopIfTrue="1">
      <formula>"OK! Percentual do BDI quando calculado sem desoneração atende ao limite estipulado pelo Acórdão TCU 2.622/2013."</formula>
    </cfRule>
    <cfRule type="cellIs" priority="6" dxfId="10" operator="equal" stopIfTrue="1">
      <formula>"OK!"</formula>
    </cfRule>
    <cfRule type="cellIs" priority="7" dxfId="11" operator="notEqual" stopIfTrue="1">
      <formula>"OK!"</formula>
    </cfRule>
  </conditionalFormatting>
  <dataValidations count="3">
    <dataValidation type="custom" allowBlank="1" showInputMessage="1" showErrorMessage="1" sqref="L9">
      <formula1>A1</formula1>
    </dataValidation>
    <dataValidation allowBlank="1" showInputMessage="1" showErrorMessage="1" promptTitle="Data" prompt="Indique a data da assinatura do documento" sqref="A43"/>
    <dataValidation type="list" allowBlank="1" showInputMessage="1" showErrorMessage="1" promptTitle="Escolha" prompt="o tipo de obra" sqref="D11">
      <formula1>$N$10:$N$14</formula1>
    </dataValidation>
  </dataValidations>
  <printOptions horizontalCentered="1"/>
  <pageMargins left="0.984251968503937" right="0.5118110236220472" top="0.7874015748031497" bottom="0.7874015748031497" header="0.31496062992125984" footer="0.31496062992125984"/>
  <pageSetup fitToHeight="0" horizontalDpi="600" verticalDpi="600" orientation="landscape" paperSize="9" scale="69" r:id="rId3"/>
  <ignoredErrors>
    <ignoredError sqref="N34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Ismael Silva Pereira</cp:lastModifiedBy>
  <cp:lastPrinted>2016-05-16T18:39:53Z</cp:lastPrinted>
  <dcterms:created xsi:type="dcterms:W3CDTF">2010-09-20T20:10:10Z</dcterms:created>
  <dcterms:modified xsi:type="dcterms:W3CDTF">2023-07-17T16:56:24Z</dcterms:modified>
  <cp:category/>
  <cp:version/>
  <cp:contentType/>
  <cp:contentStatus/>
</cp:coreProperties>
</file>